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6ADDECA9-0B20-C14A-87A8-FDB36956ABEB}" xr6:coauthVersionLast="47" xr6:coauthVersionMax="47" xr10:uidLastSave="{00000000-0000-0000-0000-000000000000}"/>
  <bookViews>
    <workbookView xWindow="38260" yWindow="2400" windowWidth="33600" windowHeight="20500" tabRatio="599"/>
  </bookViews>
  <sheets>
    <sheet name="20.01.2025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8" i="3" l="1"/>
  <c r="E929" i="3"/>
  <c r="E930" i="3"/>
  <c r="E931" i="3"/>
  <c r="E932" i="3"/>
  <c r="E933" i="3"/>
  <c r="E934" i="3"/>
  <c r="E935" i="3"/>
  <c r="E936" i="3"/>
  <c r="E937" i="3"/>
  <c r="E938" i="3"/>
  <c r="E939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1" i="3"/>
  <c r="E1392" i="3"/>
  <c r="E1393" i="3"/>
  <c r="E1394" i="3"/>
  <c r="E1395" i="3"/>
  <c r="E1396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876" i="3"/>
  <c r="E877" i="3"/>
  <c r="E878" i="3"/>
  <c r="E879" i="3"/>
  <c r="E880" i="3"/>
  <c r="E881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35" i="3"/>
  <c r="E836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622" i="3"/>
  <c r="E623" i="3"/>
  <c r="E624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521" i="3"/>
  <c r="E522" i="3"/>
  <c r="E523" i="3"/>
  <c r="E524" i="3"/>
  <c r="E525" i="3"/>
  <c r="E526" i="3"/>
  <c r="E527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386" i="3"/>
  <c r="E387" i="3"/>
  <c r="E388" i="3"/>
  <c r="E389" i="3"/>
  <c r="E390" i="3"/>
  <c r="E391" i="3"/>
  <c r="E392" i="3"/>
  <c r="E393" i="3"/>
  <c r="E394" i="3"/>
  <c r="E395" i="3"/>
  <c r="E396" i="3"/>
  <c r="E383" i="3"/>
  <c r="E384" i="3"/>
  <c r="E385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<sst xmlns="http://schemas.openxmlformats.org/spreadsheetml/2006/main" count="5374" uniqueCount="964">
  <si>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</si>
  <si>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</si>
  <si>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</si>
  <si>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</si>
  <si>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</si>
  <si>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</si>
  <si>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</si>
  <si>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</si>
  <si>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</si>
  <si>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</si>
  <si>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</si>
  <si>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</si>
  <si>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</si>
  <si>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</si>
  <si>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</si>
  <si>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</si>
  <si>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</si>
  <si>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</si>
  <si>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</si>
  <si>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</si>
  <si>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</si>
  <si>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</si>
  <si>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</si>
  <si>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</si>
  <si>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</si>
  <si>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</si>
  <si>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</si>
  <si>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</si>
  <si>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</si>
  <si>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</si>
  <si>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</si>
  <si>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</si>
  <si>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</si>
  <si>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</si>
  <si>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</si>
  <si>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</si>
  <si>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</si>
  <si>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</si>
  <si>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</si>
  <si>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</si>
  <si>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</si>
  <si>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</si>
  <si>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</si>
  <si>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</si>
  <si>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</si>
  <si>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</si>
  <si>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</si>
  <si>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</si>
  <si>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</si>
  <si>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</si>
  <si>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</si>
  <si>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</si>
  <si>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</si>
  <si>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</si>
  <si>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</si>
  <si>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</si>
  <si>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</si>
  <si>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</si>
  <si>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</si>
  <si>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</si>
  <si>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</si>
  <si>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</si>
  <si>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</si>
  <si>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</si>
  <si>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</si>
  <si>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</si>
  <si>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</si>
  <si>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</si>
  <si>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</si>
  <si>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</si>
  <si>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</si>
  <si>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</si>
  <si>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</si>
  <si>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</si>
  <si>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</si>
  <si>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</si>
  <si>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</si>
  <si>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</si>
  <si>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</si>
  <si>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</si>
  <si>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</si>
  <si>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</si>
  <si>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</si>
  <si>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</si>
  <si>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</si>
  <si>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</si>
  <si>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</si>
  <si>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</si>
  <si>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</si>
  <si>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</si>
  <si>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</si>
  <si>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</si>
  <si>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</si>
  <si>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</si>
  <si>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</si>
  <si>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</si>
  <si>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</si>
  <si>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</si>
  <si>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</si>
  <si>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</si>
  <si>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</si>
  <si>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</si>
  <si>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</si>
  <si>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6,5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</si>
  <si>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</si>
  <si>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</si>
  <si>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</si>
  <si>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</si>
  <si>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</si>
  <si>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</si>
  <si>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</si>
  <si>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</si>
  <si>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</si>
  <si>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Протокол 132-88-2018</t>
  </si>
  <si>
    <t>2х1250х2500</t>
  </si>
  <si>
    <t>10х1250х2500</t>
  </si>
  <si>
    <t>8х1250х2500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</si>
  <si>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</si>
  <si>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</si>
  <si>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</si>
  <si>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</si>
  <si>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</si>
  <si>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сер. 4,0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</si>
  <si>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</si>
  <si>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</si>
  <si>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</si>
  <si>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</si>
  <si>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</si>
  <si>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</si>
  <si>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</si>
  <si>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</si>
  <si>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</si>
  <si>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</si>
  <si>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</si>
  <si>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</si>
  <si>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</si>
  <si>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</si>
  <si>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</si>
  <si>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</si>
  <si>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</si>
  <si>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</si>
  <si>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</si>
  <si>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</si>
  <si>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</si>
  <si>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</si>
  <si>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</si>
  <si>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</si>
  <si>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</si>
  <si>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</si>
  <si>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</si>
  <si>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</si>
  <si>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</si>
  <si>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</si>
  <si>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</si>
  <si>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</si>
  <si>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</si>
  <si>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</si>
  <si>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</si>
  <si>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</si>
  <si>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</si>
  <si>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</si>
  <si>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</si>
  <si>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</si>
  <si>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</si>
  <si>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</si>
  <si>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</si>
  <si>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</si>
  <si>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</si>
  <si>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</si>
  <si>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</si>
  <si>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</si>
  <si>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</si>
  <si>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</si>
  <si>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</si>
  <si>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</si>
  <si>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</si>
  <si>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40х510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</si>
  <si>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</si>
  <si>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</si>
  <si>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</si>
  <si>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</si>
  <si>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</si>
  <si>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</si>
  <si>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</si>
  <si>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</si>
  <si>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</si>
  <si>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</si>
  <si>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</si>
  <si>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</si>
  <si>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</si>
  <si>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</si>
  <si>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</si>
  <si>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</si>
  <si>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</si>
  <si>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</si>
  <si>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</si>
  <si>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</si>
  <si>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</si>
  <si>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</si>
  <si>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</si>
  <si>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</si>
  <si>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</si>
  <si>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</si>
  <si>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</si>
  <si>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</si>
  <si>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</si>
  <si>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</si>
  <si>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</si>
  <si>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</si>
  <si>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</si>
  <si>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</si>
  <si>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</si>
  <si>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</si>
  <si>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</si>
  <si>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</si>
  <si>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</si>
  <si>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</si>
  <si>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</si>
  <si>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</si>
  <si>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</si>
  <si>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</si>
  <si>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</si>
  <si>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</si>
  <si>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</si>
  <si>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</si>
  <si>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</si>
  <si>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</si>
  <si>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</si>
  <si>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</si>
  <si>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</si>
  <si>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</si>
  <si>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</si>
  <si>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</si>
  <si>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</si>
  <si>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</si>
  <si>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ТУ 14-123-199-2012, 19903-2015</t>
  </si>
  <si>
    <t>ГОСТ 14959, 2590, В1, 2ГП, 4А</t>
  </si>
  <si>
    <t>32х1500х6000</t>
  </si>
  <si>
    <t>0,5х380х2000</t>
  </si>
  <si>
    <t>0,7х380х2000</t>
  </si>
  <si>
    <t>0,8х380х2000</t>
  </si>
  <si>
    <t>1,4х380х2000</t>
  </si>
  <si>
    <t>60х1500х6000</t>
  </si>
  <si>
    <t>16х1600х6200</t>
  </si>
  <si>
    <t>1,6х350х2000</t>
  </si>
  <si>
    <t>0,5х330х2000</t>
  </si>
  <si>
    <t>1,6х340х2000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</si>
  <si>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</si>
  <si>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</si>
  <si>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</si>
  <si>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</si>
  <si>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</si>
  <si>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</si>
  <si>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</si>
  <si>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</si>
  <si>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</si>
  <si>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</si>
  <si>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</si>
  <si>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</si>
  <si>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</si>
  <si>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</si>
  <si>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</si>
  <si>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</si>
  <si>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</si>
  <si>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</si>
  <si>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</si>
  <si>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</si>
  <si>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</si>
  <si>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</si>
  <si>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</si>
  <si>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</si>
  <si>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</si>
  <si>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</si>
  <si>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</si>
  <si>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</si>
  <si>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</si>
  <si>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</si>
  <si>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</si>
  <si>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</si>
  <si>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</si>
  <si>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</si>
  <si>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</si>
  <si>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</si>
  <si>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</si>
  <si>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</si>
  <si>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75х2000х4000</t>
  </si>
  <si>
    <t>55х1000-1100х3000-3600</t>
  </si>
  <si>
    <t>40х2000х750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</si>
  <si>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</si>
  <si>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</si>
  <si>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</si>
  <si>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</si>
  <si>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</si>
  <si>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</si>
  <si>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13х1500х6000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</si>
  <si>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</si>
  <si>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</si>
  <si>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</si>
  <si>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</si>
  <si>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</si>
  <si>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</si>
  <si>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</si>
  <si>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</si>
  <si>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ГОСТ 2590-2006</t>
  </si>
  <si>
    <t>120х510</t>
  </si>
  <si>
    <t>ГОСТ 11269-76, 19903-2015, РТ-Техприемка</t>
  </si>
  <si>
    <t>ГОСТ 1577-93, 19903-2015, 1050-2013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</si>
  <si>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</si>
  <si>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</si>
  <si>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</si>
  <si>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</si>
  <si>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</si>
  <si>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</si>
  <si>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</si>
  <si>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60х1500х3020</t>
  </si>
  <si>
    <t>70х1500х1020</t>
  </si>
  <si>
    <t>8х800</t>
  </si>
  <si>
    <t>50х240 (дл.1000мм)</t>
  </si>
  <si>
    <t>160х40 (дл.1000мм)</t>
  </si>
  <si>
    <t>80х1500х6000</t>
  </si>
  <si>
    <t>4х1500х6000</t>
  </si>
  <si>
    <t>320х250</t>
  </si>
  <si>
    <t>8х1500х3000</t>
  </si>
  <si>
    <t>440С</t>
  </si>
  <si>
    <t>2,0х610-800</t>
  </si>
  <si>
    <t>42х610</t>
  </si>
  <si>
    <t>82х610</t>
  </si>
  <si>
    <t>10х1266х4000</t>
  </si>
  <si>
    <t>75х1500х290</t>
  </si>
  <si>
    <t>100х500х370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</si>
  <si>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</si>
  <si>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</si>
  <si>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</si>
  <si>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</si>
  <si>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</si>
  <si>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</si>
  <si>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</si>
  <si>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</si>
  <si>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</si>
  <si>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</si>
  <si>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</si>
  <si>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</si>
  <si>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</si>
  <si>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</si>
  <si>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</si>
  <si>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</si>
  <si>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</si>
  <si>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</si>
  <si>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</si>
  <si>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</si>
  <si>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</si>
  <si>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</si>
  <si>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</si>
  <si>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50х470х160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</si>
  <si>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</si>
  <si>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</si>
  <si>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</si>
  <si>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</si>
  <si>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</si>
  <si>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</si>
  <si>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</si>
  <si>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</si>
  <si>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</si>
  <si>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</si>
  <si>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</si>
  <si>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</si>
  <si>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</si>
  <si>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</si>
  <si>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</si>
  <si>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</si>
  <si>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</si>
  <si>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</si>
  <si>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30х1500х320</t>
  </si>
  <si>
    <t>30х1500х160</t>
  </si>
  <si>
    <t>3,0х450х2000</t>
  </si>
  <si>
    <t>кв.20</t>
  </si>
  <si>
    <t>30х1500х170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</si>
  <si>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</si>
  <si>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</si>
  <si>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</si>
  <si>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</si>
  <si>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</si>
  <si>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</si>
  <si>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28х1500х5000</t>
  </si>
  <si>
    <t>95Х18</t>
  </si>
  <si>
    <t>70х1200х3900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</si>
  <si>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</si>
  <si>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</si>
  <si>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</si>
  <si>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</si>
  <si>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</si>
  <si>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</si>
  <si>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</si>
  <si>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</si>
  <si>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</si>
  <si>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</si>
  <si>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</si>
  <si>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2х1255х2000</t>
  </si>
  <si>
    <t>100х1500х300</t>
  </si>
  <si>
    <t>130х610</t>
  </si>
  <si>
    <t>140х610</t>
  </si>
  <si>
    <t>50х1000-1100х390</t>
  </si>
  <si>
    <t>55х1000-1100х380</t>
  </si>
  <si>
    <t>ТУ 14-1-4118-2004, ГОСТ 19903-2015, отжиг</t>
  </si>
  <si>
    <t>ГОСТ 19903-2015, 1577-93, отжиг</t>
  </si>
  <si>
    <t>1,0х1180х2000</t>
  </si>
  <si>
    <t>1,5х1180х2000</t>
  </si>
  <si>
    <t>20х1500х380</t>
  </si>
  <si>
    <t>50х280х410</t>
  </si>
  <si>
    <t>18х1500х1150</t>
  </si>
  <si>
    <t>160х1360х1190</t>
  </si>
  <si>
    <t>80х1500х470</t>
  </si>
  <si>
    <t>40х1500х2990</t>
  </si>
  <si>
    <t>7х1250х2500</t>
  </si>
  <si>
    <t>ГОСТ 1577-2022, 19903-2015</t>
  </si>
  <si>
    <t>ГОСТ 19903-2015, 1577-2022</t>
  </si>
  <si>
    <t>60х250х320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</si>
  <si>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</si>
  <si>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</si>
  <si>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</si>
  <si>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</si>
  <si>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</si>
  <si>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</si>
  <si>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</si>
  <si>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</si>
  <si>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</si>
  <si>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</si>
  <si>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</si>
  <si>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40х1500х1500</t>
  </si>
  <si>
    <t>120х110</t>
  </si>
  <si>
    <t>120х160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</si>
  <si>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</si>
  <si>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</si>
  <si>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</si>
  <si>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</si>
  <si>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</si>
  <si>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</si>
  <si>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</si>
  <si>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</si>
  <si>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</si>
  <si>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</si>
  <si>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</si>
  <si>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</si>
  <si>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</si>
  <si>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</si>
  <si>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</si>
  <si>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</si>
  <si>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</si>
  <si>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</si>
  <si>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</si>
  <si>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</si>
  <si>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</si>
  <si>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</si>
  <si>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</si>
  <si>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</si>
  <si>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ГОСТ 11269-76, 19903-2015,                  РТ-Техприемка</t>
  </si>
  <si>
    <t>25х1500х270</t>
  </si>
  <si>
    <t>8х1500х4000-5000</t>
  </si>
  <si>
    <t>25х1500х520</t>
  </si>
  <si>
    <t>180х610</t>
  </si>
  <si>
    <t>30х600х390</t>
  </si>
  <si>
    <t>30х1500х310</t>
  </si>
  <si>
    <t>40х660х180</t>
  </si>
  <si>
    <t>50х1500х490</t>
  </si>
  <si>
    <t>20х1500х280</t>
  </si>
  <si>
    <t>10х1500х980</t>
  </si>
  <si>
    <t>90х700-800х1090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</si>
  <si>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</si>
  <si>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</si>
  <si>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</si>
  <si>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</si>
  <si>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</si>
  <si>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70х1200х420</t>
  </si>
  <si>
    <t>16х1400х6000</t>
  </si>
  <si>
    <t>50х340х200</t>
  </si>
  <si>
    <t>50х240х240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</si>
  <si>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</si>
  <si>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</si>
  <si>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</si>
  <si>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</si>
  <si>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</si>
  <si>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</si>
  <si>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</si>
  <si>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</si>
  <si>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</si>
  <si>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</si>
  <si>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</si>
  <si>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</si>
  <si>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</si>
  <si>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</si>
  <si>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</si>
  <si>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</si>
  <si>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</si>
  <si>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</si>
  <si>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</si>
  <si>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</si>
  <si>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</si>
  <si>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</si>
  <si>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</si>
  <si>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</si>
  <si>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</si>
  <si>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</si>
  <si>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</si>
  <si>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</si>
  <si>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</si>
  <si>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7х1000х2000</t>
  </si>
  <si>
    <t>кв. 350</t>
  </si>
  <si>
    <t>кв. 450</t>
  </si>
  <si>
    <t>16х2000х6000</t>
  </si>
  <si>
    <t>ГОСТ 4543-2016, 11268-76, 19904-90</t>
  </si>
  <si>
    <t>8х1500х3990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</si>
  <si>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</si>
  <si>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</si>
  <si>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</si>
  <si>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</si>
  <si>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</si>
  <si>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30х1500х190</t>
  </si>
  <si>
    <t>0,8х615х2500</t>
  </si>
  <si>
    <t>2х1000х1950-2000</t>
  </si>
  <si>
    <t>ГОСТ 11269-76, 19903-2015,   РТ-Техприемка</t>
  </si>
  <si>
    <t>26х610</t>
  </si>
  <si>
    <t>20х1500х770</t>
  </si>
  <si>
    <t>130х1500х710</t>
  </si>
  <si>
    <t>55х1500х600</t>
  </si>
  <si>
    <t>26х560</t>
  </si>
  <si>
    <t>120х1500х1550</t>
  </si>
  <si>
    <t>90х1500х4610</t>
  </si>
  <si>
    <t>60х580х330</t>
  </si>
  <si>
    <t>6х1500х-5000-6000</t>
  </si>
  <si>
    <t>ГОСТ 1577-22, 19903-2015</t>
  </si>
  <si>
    <t>ГОСТ 19903-2015, ТУ 14-123-199-2023</t>
  </si>
  <si>
    <t>120х1000х2600</t>
  </si>
  <si>
    <t>ГОСТ 1050-2013, 8479-70 поковка</t>
  </si>
  <si>
    <t>50х1000-1100х520</t>
  </si>
  <si>
    <t>4Х5МФ1С-Ш</t>
  </si>
  <si>
    <t>ГОСТ 8479-70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</si>
  <si>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</si>
  <si>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</si>
  <si>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</si>
  <si>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</si>
  <si>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</si>
  <si>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</si>
  <si>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</si>
  <si>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</si>
  <si>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100х1500х570</t>
  </si>
  <si>
    <t>12х1500х3500-6000</t>
  </si>
  <si>
    <t>30х930х500</t>
  </si>
  <si>
    <t>50х1500х540</t>
  </si>
  <si>
    <t>20х1500х480</t>
  </si>
  <si>
    <t>75х2000х1960</t>
  </si>
  <si>
    <t>50х1500х1030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</si>
  <si>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</si>
  <si>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</si>
  <si>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</si>
  <si>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</si>
  <si>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3,5х1250х2500</t>
  </si>
  <si>
    <t>ГОСТ 11268-76, отжиг, 19903-2015, Б-ПН-НО,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</si>
  <si>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</si>
  <si>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</si>
  <si>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</si>
  <si>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</si>
  <si>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</si>
  <si>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</si>
  <si>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40х1500х1200</t>
  </si>
  <si>
    <t>25х1500-1600х2350</t>
  </si>
  <si>
    <t>ГОСТ 5950-2000, 4405-75 (кованые)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</si>
  <si>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</si>
  <si>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</si>
  <si>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</si>
  <si>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</si>
  <si>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</si>
  <si>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</si>
  <si>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</si>
  <si>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</si>
  <si>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</si>
  <si>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</si>
  <si>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</si>
  <si>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</si>
  <si>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</si>
  <si>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</si>
  <si>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30х1130х290</t>
  </si>
  <si>
    <t>60х230х370</t>
  </si>
  <si>
    <t>60х1500х1400</t>
  </si>
  <si>
    <t>45х1500х350</t>
  </si>
  <si>
    <t>50х1500х570</t>
  </si>
  <si>
    <t>80х1500х340</t>
  </si>
  <si>
    <t>110х80</t>
  </si>
  <si>
    <t>120х235</t>
  </si>
  <si>
    <t>140х80</t>
  </si>
  <si>
    <t>50х1500х500</t>
  </si>
  <si>
    <t>25х1500х620</t>
  </si>
  <si>
    <t>30х1500х360</t>
  </si>
  <si>
    <t>70х1200х320</t>
  </si>
  <si>
    <t>16х1500х3030</t>
  </si>
  <si>
    <t>150х1500х3010</t>
  </si>
  <si>
    <t>45х1500х1670</t>
  </si>
  <si>
    <t>квадрат 300</t>
  </si>
  <si>
    <t>25х1500х260</t>
  </si>
  <si>
    <t>40х1500х550</t>
  </si>
  <si>
    <t>62х510</t>
  </si>
  <si>
    <t>34х1500х6000</t>
  </si>
  <si>
    <t>12х1500х230</t>
  </si>
  <si>
    <t>1,0х950х2500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</si>
  <si>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</si>
  <si>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</si>
  <si>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</si>
  <si>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</si>
  <si>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</si>
  <si>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70х805</t>
  </si>
  <si>
    <t>250х250</t>
  </si>
  <si>
    <t>60х1000х190</t>
  </si>
  <si>
    <t>16х2000х990</t>
  </si>
  <si>
    <t>ГОСТ 1435-99, 4405-75</t>
  </si>
  <si>
    <t>30х1500х860</t>
  </si>
  <si>
    <t>75х1500х1660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</si>
  <si>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</si>
  <si>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</si>
  <si>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</si>
  <si>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</si>
  <si>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</si>
  <si>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</si>
  <si>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</si>
  <si>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</si>
  <si>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40х1500х510</t>
  </si>
  <si>
    <t>36х1500х210</t>
  </si>
  <si>
    <t>6х1500х5500-6000</t>
  </si>
  <si>
    <t>16х1500х4000-6000</t>
  </si>
  <si>
    <t>22х1500х2690</t>
  </si>
  <si>
    <t>30х1500х4250</t>
  </si>
  <si>
    <t>160х1500х520</t>
  </si>
  <si>
    <t>140х1500х2420</t>
  </si>
  <si>
    <t>160х1500х1200</t>
  </si>
  <si>
    <t>40х1500х740</t>
  </si>
  <si>
    <t>60х1000-1100х440</t>
  </si>
  <si>
    <t>3,0х1200х2000</t>
  </si>
  <si>
    <t>ТС 132-219-2021</t>
  </si>
  <si>
    <t>160х1500х1080</t>
  </si>
  <si>
    <t>12х1500х1420</t>
  </si>
  <si>
    <t>12х300</t>
  </si>
  <si>
    <t>12х1500х3890</t>
  </si>
  <si>
    <t>16х1500х5060</t>
  </si>
  <si>
    <t>22х1500х3000</t>
  </si>
  <si>
    <t>32х1500х3000</t>
  </si>
  <si>
    <t>85х1500х800</t>
  </si>
  <si>
    <t>16х1500х450</t>
  </si>
  <si>
    <t>ГОСТ 19904-90, 11268-76, БТ-I-ПН-О</t>
  </si>
  <si>
    <t>ГОСТ 19903-2015, 1577-22</t>
  </si>
  <si>
    <t>50х1500х1690</t>
  </si>
  <si>
    <t xml:space="preserve">ГОСТ 16523-97, 19903-2015, </t>
  </si>
  <si>
    <t>100х1500х3030</t>
  </si>
  <si>
    <t>16х1500х3000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</si>
  <si>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</si>
  <si>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</si>
  <si>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</si>
  <si>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</si>
  <si>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</si>
  <si>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</si>
  <si>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</si>
  <si>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 xml:space="preserve">55х350 </t>
  </si>
  <si>
    <t>20х1500х3000</t>
  </si>
  <si>
    <t>14х1500х3490</t>
  </si>
  <si>
    <t>16х1500х2890</t>
  </si>
  <si>
    <t>75х1500х2130</t>
  </si>
  <si>
    <t>90х1000х3900</t>
  </si>
  <si>
    <t>150х1000х1790</t>
  </si>
  <si>
    <t>50х1600х4950</t>
  </si>
  <si>
    <t>6х1500х310</t>
  </si>
  <si>
    <t>35х1200-1300х190</t>
  </si>
  <si>
    <t>70х800-900х500</t>
  </si>
  <si>
    <t>6х1500х1650</t>
  </si>
  <si>
    <t>60х550х270</t>
  </si>
  <si>
    <t>8х1500х2140</t>
  </si>
  <si>
    <t>40х1500х490</t>
  </si>
  <si>
    <t>120х1000х700</t>
  </si>
  <si>
    <t>50х1000-1100х820</t>
  </si>
  <si>
    <t>40х1200-1300х660</t>
  </si>
  <si>
    <t>10х1500х1200</t>
  </si>
  <si>
    <t>10х1500х1500</t>
  </si>
  <si>
    <t>8х1500х960</t>
  </si>
  <si>
    <t>36х1500х4260</t>
  </si>
  <si>
    <t>30х1500х4000-5000</t>
  </si>
  <si>
    <t>45х1200-1300х3500-5000</t>
  </si>
  <si>
    <t>22х1500х3400</t>
  </si>
  <si>
    <t>36х1500х740</t>
  </si>
  <si>
    <t>40х1500х730</t>
  </si>
  <si>
    <t>ГОСТ 14959-2016, ГОСТ 19903-2015</t>
  </si>
  <si>
    <t>6х1260х2000</t>
  </si>
  <si>
    <t>12х1260х4000</t>
  </si>
  <si>
    <t>8х1260х4000</t>
  </si>
  <si>
    <t>16х1260х3000</t>
  </si>
  <si>
    <t>36х1500х2990</t>
  </si>
  <si>
    <t>45х1500х2910</t>
  </si>
  <si>
    <t>6х1219х2500</t>
  </si>
  <si>
    <t>45х1200-1300х1680</t>
  </si>
  <si>
    <t>40х1200-1300х800</t>
  </si>
  <si>
    <t>18х1500х2690</t>
  </si>
  <si>
    <t>30х1500х640</t>
  </si>
  <si>
    <t>5х1500х290</t>
  </si>
  <si>
    <t>30х1500х370</t>
  </si>
  <si>
    <t>40х1200-1300х350</t>
  </si>
  <si>
    <t>70х1500х320</t>
  </si>
  <si>
    <t>60х1500х470</t>
  </si>
  <si>
    <t>90х1500х2000</t>
  </si>
  <si>
    <t>14х1500х2320</t>
  </si>
  <si>
    <t>50х1000-1100х860</t>
  </si>
  <si>
    <t>12х1500х490</t>
  </si>
  <si>
    <t>14х1500х440</t>
  </si>
  <si>
    <t>10х1500х380</t>
  </si>
  <si>
    <t>10х1500х5600-6000</t>
  </si>
  <si>
    <t>16х1500х980</t>
  </si>
  <si>
    <t>4х1500х3000</t>
  </si>
  <si>
    <t>20х640х220</t>
  </si>
  <si>
    <t>16х1500х460</t>
  </si>
  <si>
    <t>25х1500х4050</t>
  </si>
  <si>
    <t>16х1500х2480</t>
  </si>
  <si>
    <t>20х1500х310</t>
  </si>
  <si>
    <t>ТС 132-15-2022, ГОСТ 19903-2015</t>
  </si>
  <si>
    <t>8х1500х5100-6000</t>
  </si>
  <si>
    <t>90х1500х3000</t>
  </si>
  <si>
    <t>10х1500х530</t>
  </si>
  <si>
    <t>120х700-800х420</t>
  </si>
  <si>
    <t>30х1500х630</t>
  </si>
  <si>
    <t>40х1500х620</t>
  </si>
  <si>
    <t>50х200</t>
  </si>
  <si>
    <t>5х1500х980</t>
  </si>
  <si>
    <t>55х1000-1100х550</t>
  </si>
  <si>
    <t>ХВГ-Ш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</si>
  <si>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</si>
  <si>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</si>
  <si>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</si>
  <si>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</si>
  <si>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</si>
  <si>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40х1200-1300х2800</t>
  </si>
  <si>
    <t>20х1500х2500</t>
  </si>
  <si>
    <t>6х1500х720</t>
  </si>
  <si>
    <t>100х1500280</t>
  </si>
  <si>
    <t>40х1500х4860</t>
  </si>
  <si>
    <t>50х1500х1490</t>
  </si>
  <si>
    <t>15х2000х6000</t>
  </si>
  <si>
    <t>0,8х1000х1450-1950</t>
  </si>
  <si>
    <t>160х1000х2200</t>
  </si>
  <si>
    <t>8х1500х1460</t>
  </si>
  <si>
    <t>40х300</t>
  </si>
  <si>
    <t>35х1200-1300х4000-4500</t>
  </si>
  <si>
    <t>ТС 132-178-2024</t>
  </si>
  <si>
    <t>22х1500х300</t>
  </si>
  <si>
    <t>150х290</t>
  </si>
  <si>
    <t>2,5х1150х2500</t>
  </si>
  <si>
    <t>1,0х1100х2000</t>
  </si>
  <si>
    <t>25х1500х2640</t>
  </si>
  <si>
    <t>12х1500х5220</t>
  </si>
  <si>
    <t>30х1500х2470</t>
  </si>
  <si>
    <t>5х1500х1280</t>
  </si>
  <si>
    <t>6х1500х-3990</t>
  </si>
  <si>
    <t>130х1000х2400</t>
  </si>
  <si>
    <t>ТС 132-15-2022, ГОСТ 19903-2015, Б, ПН, О</t>
  </si>
  <si>
    <t>60х1500х2830</t>
  </si>
  <si>
    <t>10х1500х2000</t>
  </si>
  <si>
    <t>16х1500х2000</t>
  </si>
  <si>
    <t>5х1500х4090</t>
  </si>
  <si>
    <t>12х1260х1070</t>
  </si>
  <si>
    <t>90х1500х3500</t>
  </si>
  <si>
    <t>20х1500х1210</t>
  </si>
  <si>
    <t>50х1500х980</t>
  </si>
  <si>
    <t>100х1500х1790</t>
  </si>
  <si>
    <t>25х1500х4360</t>
  </si>
  <si>
    <t>35х1200-1300х3090</t>
  </si>
  <si>
    <t>12х1500х1120</t>
  </si>
  <si>
    <t>60х1500х670</t>
  </si>
  <si>
    <t>6х1500х3490</t>
  </si>
  <si>
    <t>60х1000-1100х790</t>
  </si>
  <si>
    <t>18х1500х5700</t>
  </si>
  <si>
    <t>10х1500х1760</t>
  </si>
  <si>
    <t>80х700-800х380</t>
  </si>
  <si>
    <t>30х1500х1470</t>
  </si>
  <si>
    <t>10х1500х500</t>
  </si>
  <si>
    <t>60х1500х3030</t>
  </si>
  <si>
    <t>22х1500х995</t>
  </si>
  <si>
    <t>8х1500х970</t>
  </si>
  <si>
    <t>10х1500х720</t>
  </si>
  <si>
    <t>60х460</t>
  </si>
  <si>
    <t>4Х4ВМФС-Ш</t>
  </si>
  <si>
    <t>150х610х2500</t>
  </si>
  <si>
    <t>200х610х2500</t>
  </si>
  <si>
    <t>250х610х2500</t>
  </si>
  <si>
    <t>7Х3</t>
  </si>
  <si>
    <t>140х1500х3770</t>
  </si>
  <si>
    <t>30х1500х5390</t>
  </si>
  <si>
    <t>90х460</t>
  </si>
  <si>
    <t>45х1500х4780</t>
  </si>
  <si>
    <t>ГОСТ 19904-90, 16523-97</t>
  </si>
  <si>
    <t>100х1500х5210</t>
  </si>
  <si>
    <t>120х1500х2600</t>
  </si>
  <si>
    <t>130х1500х1700</t>
  </si>
  <si>
    <t>70х1500х2500</t>
  </si>
  <si>
    <t>60х1000-1100х1130</t>
  </si>
  <si>
    <t>12х1490-1498х5500-6000</t>
  </si>
  <si>
    <t>12х1500х470</t>
  </si>
  <si>
    <t>50х460</t>
  </si>
  <si>
    <t>62х610</t>
  </si>
  <si>
    <t>50х1000-1100х1160</t>
  </si>
  <si>
    <t>60х1000-1100х1570</t>
  </si>
  <si>
    <t>30х1500х1160</t>
  </si>
  <si>
    <t>7х1500х5500</t>
  </si>
  <si>
    <t>10х1266х1820</t>
  </si>
  <si>
    <t>12х1500х4490</t>
  </si>
  <si>
    <t>50х1500х470</t>
  </si>
  <si>
    <t>70х1500х2000</t>
  </si>
  <si>
    <t>80х1200х970</t>
  </si>
  <si>
    <t>45х1500х860</t>
  </si>
  <si>
    <t>55х1000-1100х3310</t>
  </si>
  <si>
    <t>60х2000х2030</t>
  </si>
  <si>
    <t>160х1500х3680</t>
  </si>
  <si>
    <t>60х500</t>
  </si>
  <si>
    <t>95х500</t>
  </si>
  <si>
    <t>120х500</t>
  </si>
  <si>
    <t>130х500</t>
  </si>
  <si>
    <t>50х500</t>
  </si>
  <si>
    <t>55х500</t>
  </si>
  <si>
    <t>20х1500х700</t>
  </si>
  <si>
    <t>14х1500х610</t>
  </si>
  <si>
    <t>30х1500х2400</t>
  </si>
  <si>
    <t>40х1200-1300х1590</t>
  </si>
  <si>
    <t>130х130</t>
  </si>
  <si>
    <t>30х1500х970</t>
  </si>
  <si>
    <t>6х1500х2480</t>
  </si>
  <si>
    <t>12х1500х3620</t>
  </si>
  <si>
    <t>5х1500х1980</t>
  </si>
  <si>
    <t>5х1500х4000</t>
  </si>
  <si>
    <t>20х1500х300</t>
  </si>
  <si>
    <t>14х1500х2750</t>
  </si>
  <si>
    <t>10х1500х310</t>
  </si>
  <si>
    <t>15х1500х390</t>
  </si>
  <si>
    <t>20х1500х2250</t>
  </si>
  <si>
    <t>ТУ 14-1-1409-2018, 19903-2015, Б-НО, отжиг</t>
  </si>
  <si>
    <t>20х1500х950</t>
  </si>
  <si>
    <t>20х1500х1160</t>
  </si>
  <si>
    <t>36х1500х330</t>
  </si>
  <si>
    <t>5х1500х3000</t>
  </si>
  <si>
    <t>65х1500х1090</t>
  </si>
  <si>
    <t>160х1500х4500</t>
  </si>
  <si>
    <t>70х800-900х840</t>
  </si>
  <si>
    <t>25х1500х1430</t>
  </si>
  <si>
    <t>ГОСТ 5950-2000, ТУ 14-1-4492-2019, ГОСТ 21120-75</t>
  </si>
  <si>
    <t>12х1500х5000</t>
  </si>
  <si>
    <t>16х1500х4500</t>
  </si>
  <si>
    <t>22х1500х4390</t>
  </si>
  <si>
    <t>5х1500х1410</t>
  </si>
  <si>
    <t>8х1500х5690</t>
  </si>
  <si>
    <t>16х1500х540</t>
  </si>
  <si>
    <t>20х1500х1220</t>
  </si>
  <si>
    <t>20х1500х670</t>
  </si>
  <si>
    <t xml:space="preserve">4Х5МФС </t>
  </si>
  <si>
    <t>5х1500х5400-5800</t>
  </si>
  <si>
    <t>18х1500х2440</t>
  </si>
  <si>
    <t>16х1500х2360</t>
  </si>
  <si>
    <t>100х1500х3700</t>
  </si>
  <si>
    <t>14х2000х5800</t>
  </si>
  <si>
    <t>90х1000х3800</t>
  </si>
  <si>
    <t>60х2000х5000</t>
  </si>
  <si>
    <t>60х1500х800</t>
  </si>
  <si>
    <t>8х1500х1610</t>
  </si>
  <si>
    <t>25х1500х5690</t>
  </si>
  <si>
    <t>ГОСТ 1577-93, 19903-2022</t>
  </si>
  <si>
    <t>100х1000х3600</t>
  </si>
  <si>
    <t>10х1500х2400</t>
  </si>
  <si>
    <t>12х1500х3950</t>
  </si>
  <si>
    <t>12х1500х650</t>
  </si>
  <si>
    <t>20х1500х2760</t>
  </si>
  <si>
    <t>5х1500х4500</t>
  </si>
  <si>
    <t>14х2000х2000</t>
  </si>
  <si>
    <t>8х1500х2990</t>
  </si>
  <si>
    <t>10х1500х760</t>
  </si>
  <si>
    <t>14х1500х5140</t>
  </si>
  <si>
    <t>16х1500х2550</t>
  </si>
  <si>
    <t>40х1500х3020</t>
  </si>
  <si>
    <t>18х1500х560</t>
  </si>
  <si>
    <t>60х2000х2020</t>
  </si>
  <si>
    <t>4х1500х460</t>
  </si>
  <si>
    <t>25х1500х5000</t>
  </si>
  <si>
    <t>50х1000-1100х1320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</si>
  <si>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</si>
  <si>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</si>
  <si>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</si>
  <si>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</si>
  <si>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</si>
  <si>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</si>
  <si>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</si>
  <si>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12х1500х4920</t>
  </si>
  <si>
    <t>110х1500х4430</t>
  </si>
  <si>
    <t>120х1500х3430</t>
  </si>
  <si>
    <t>60х1500х1370</t>
  </si>
  <si>
    <t>90х1500х3160</t>
  </si>
  <si>
    <t>150х1500х1500</t>
  </si>
  <si>
    <t>ГОСТ 5950-2000, ГОСТ 4405-75 (кованые)</t>
  </si>
  <si>
    <t>22х1500х1790</t>
  </si>
  <si>
    <t xml:space="preserve">30х50-53 </t>
  </si>
  <si>
    <t xml:space="preserve">10х610 </t>
  </si>
  <si>
    <t xml:space="preserve">36х610                                        </t>
  </si>
  <si>
    <t>Склад  на 20.01.2025</t>
  </si>
  <si>
    <t>ГОСТ 2590, 535-2006</t>
  </si>
  <si>
    <t>16х1500х1180</t>
  </si>
  <si>
    <t>ТУ 14-1-1409-2018, 19903-2015, Б-ПН-НО, без отжига</t>
  </si>
  <si>
    <t>4х1500х1000</t>
  </si>
  <si>
    <t>5х1500х2400</t>
  </si>
  <si>
    <t>6х1500х1900</t>
  </si>
  <si>
    <t>6х1500х3000</t>
  </si>
  <si>
    <t>10х1500х1800</t>
  </si>
  <si>
    <t>18х1500х2340</t>
  </si>
  <si>
    <t>18х1500х2460</t>
  </si>
  <si>
    <t>20х1500х710</t>
  </si>
  <si>
    <t>25х1500х1560</t>
  </si>
  <si>
    <t>40х1500х2070</t>
  </si>
  <si>
    <t>45х1500х3850</t>
  </si>
  <si>
    <t>60х1500х5240</t>
  </si>
  <si>
    <t>70х1200х510</t>
  </si>
  <si>
    <t>80х1500х1450</t>
  </si>
  <si>
    <t>5х1500х870</t>
  </si>
  <si>
    <t>6х1500х2590</t>
  </si>
  <si>
    <t>6х1500х1500</t>
  </si>
  <si>
    <t>10х1500х1970</t>
  </si>
  <si>
    <t>16х1500х620</t>
  </si>
  <si>
    <t>16х1500х2980</t>
  </si>
  <si>
    <t>20х1500х750</t>
  </si>
  <si>
    <t>30х1500х2650</t>
  </si>
  <si>
    <t xml:space="preserve">50х400  </t>
  </si>
  <si>
    <t>100х410х120</t>
  </si>
  <si>
    <t>16х2000х1900</t>
  </si>
  <si>
    <t>20х1500х1500</t>
  </si>
  <si>
    <t>36х1500х3000</t>
  </si>
  <si>
    <t>40х1500х1030</t>
  </si>
  <si>
    <t>50х1500х1520</t>
  </si>
  <si>
    <t>60х1500х3000</t>
  </si>
  <si>
    <t>90х410х520</t>
  </si>
  <si>
    <t>16х2000х4990</t>
  </si>
  <si>
    <t>25х1500х230</t>
  </si>
  <si>
    <t>45х2000х1900</t>
  </si>
  <si>
    <t>50х1500х270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</si>
  <si>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</si>
  <si>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70х110х</t>
    </r>
    <r>
      <rPr>
        <b/>
        <sz val="11"/>
        <rFont val="Times New Roman"/>
        <family val="1"/>
        <charset val="204"/>
      </rPr>
      <t>610</t>
    </r>
  </si>
  <si>
    <r>
      <t>80х700-800х</t>
    </r>
    <r>
      <rPr>
        <b/>
        <sz val="11"/>
        <rFont val="Times New Roman"/>
        <family val="1"/>
        <charset val="204"/>
      </rPr>
      <t>370</t>
    </r>
  </si>
  <si>
    <r>
      <t>40х1500х</t>
    </r>
    <r>
      <rPr>
        <b/>
        <sz val="11"/>
        <rFont val="Times New Roman"/>
        <family val="1"/>
        <charset val="204"/>
      </rPr>
      <t>3900</t>
    </r>
  </si>
  <si>
    <r>
      <t>80х1500х</t>
    </r>
    <r>
      <rPr>
        <b/>
        <sz val="11"/>
        <rFont val="Times New Roman"/>
        <family val="1"/>
        <charset val="204"/>
      </rPr>
      <t>860</t>
    </r>
  </si>
  <si>
    <r>
      <t>100х1500х</t>
    </r>
    <r>
      <rPr>
        <b/>
        <sz val="11"/>
        <rFont val="Times New Roman"/>
        <family val="1"/>
        <charset val="204"/>
      </rPr>
      <t>500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</si>
  <si>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</si>
  <si>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30х1500х</t>
    </r>
    <r>
      <rPr>
        <b/>
        <sz val="11"/>
        <rFont val="Times New Roman"/>
        <family val="1"/>
        <charset val="204"/>
      </rPr>
      <t>1480</t>
    </r>
  </si>
  <si>
    <r>
      <t>40х1500х</t>
    </r>
    <r>
      <rPr>
        <b/>
        <sz val="11"/>
        <rFont val="Times New Roman"/>
        <family val="1"/>
        <charset val="204"/>
      </rPr>
      <t>480</t>
    </r>
  </si>
  <si>
    <r>
      <t>40х1500х</t>
    </r>
    <r>
      <rPr>
        <b/>
        <sz val="11"/>
        <rFont val="Times New Roman"/>
        <family val="1"/>
        <charset val="204"/>
      </rPr>
      <t>690</t>
    </r>
  </si>
  <si>
    <r>
      <t>50х1500х</t>
    </r>
    <r>
      <rPr>
        <b/>
        <sz val="11"/>
        <rFont val="Times New Roman"/>
        <family val="1"/>
        <charset val="204"/>
      </rPr>
      <t>460</t>
    </r>
  </si>
  <si>
    <r>
      <t>50х1500х</t>
    </r>
    <r>
      <rPr>
        <b/>
        <sz val="11"/>
        <rFont val="Times New Roman"/>
        <family val="1"/>
        <charset val="204"/>
      </rPr>
      <t>1520</t>
    </r>
  </si>
  <si>
    <r>
      <t>70х1500х</t>
    </r>
    <r>
      <rPr>
        <b/>
        <sz val="11"/>
        <rFont val="Times New Roman"/>
        <family val="1"/>
        <charset val="204"/>
      </rPr>
      <t>3000</t>
    </r>
  </si>
  <si>
    <r>
      <t>80х1500х</t>
    </r>
    <r>
      <rPr>
        <b/>
        <sz val="11"/>
        <rFont val="Times New Roman"/>
        <family val="1"/>
        <charset val="204"/>
      </rPr>
      <t>3440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</si>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</sst>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2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180" fontId="19" fillId="18" borderId="13" xfId="25" applyNumberFormat="1" applyFont="1" applyFill="1" applyBorder="1" applyAlignment="1">
      <alignment horizontal="center" vertical="center" wrapText="1"/>
    </xf>
    <xf numFmtId="180" fontId="19" fillId="0" borderId="13" xfId="25" applyNumberFormat="1" applyFont="1" applyFill="1" applyBorder="1" applyAlignment="1">
      <alignment horizontal="center" vertical="center" wrapText="1"/>
    </xf>
    <xf numFmtId="180" fontId="19" fillId="18" borderId="13" xfId="0" applyNumberFormat="1" applyFont="1" applyFill="1" applyBorder="1" applyAlignment="1">
      <alignment horizontal="center" vertical="center"/>
    </xf>
    <xf numFmtId="180" fontId="19" fillId="18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/>
    </xf>
    <xf numFmtId="180" fontId="19" fillId="0" borderId="13" xfId="0" applyNumberFormat="1" applyFont="1" applyFill="1" applyBorder="1" applyAlignment="1">
      <alignment horizontal="center" vertical="center" wrapText="1"/>
    </xf>
    <xf numFmtId="180" fontId="20" fillId="18" borderId="13" xfId="0" applyNumberFormat="1" applyFont="1" applyFill="1" applyBorder="1" applyAlignment="1">
      <alignment horizontal="center" vertical="center" wrapText="1"/>
    </xf>
    <xf numFmtId="180" fontId="20" fillId="0" borderId="13" xfId="0" applyNumberFormat="1" applyFont="1" applyFill="1" applyBorder="1" applyAlignment="1">
      <alignment horizontal="center" vertical="center" wrapText="1"/>
    </xf>
    <xf numFmtId="180" fontId="20" fillId="18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75" fontId="20" fillId="0" borderId="13" xfId="0" applyNumberFormat="1" applyFont="1" applyFill="1" applyBorder="1" applyAlignment="1">
      <alignment horizontal="center" vertical="center"/>
    </xf>
    <xf numFmtId="180" fontId="19" fillId="18" borderId="14" xfId="0" applyNumberFormat="1" applyFont="1" applyFill="1" applyBorder="1" applyAlignment="1">
      <alignment horizontal="center" vertical="center" wrapText="1"/>
    </xf>
    <xf numFmtId="180" fontId="19" fillId="18" borderId="15" xfId="0" applyNumberFormat="1" applyFont="1" applyFill="1" applyBorder="1" applyAlignment="1">
      <alignment horizontal="center" vertical="center"/>
    </xf>
    <xf numFmtId="0" fontId="25" fillId="0" borderId="16" xfId="25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4" fontId="27" fillId="17" borderId="20" xfId="25" applyNumberFormat="1" applyFont="1" applyFill="1" applyBorder="1" applyAlignment="1">
      <alignment horizontal="center" vertical="center" wrapText="1"/>
    </xf>
    <xf numFmtId="174" fontId="27" fillId="17" borderId="21" xfId="25" applyNumberFormat="1" applyFont="1" applyFill="1" applyBorder="1" applyAlignment="1">
      <alignment horizontal="center" vertical="center" wrapText="1"/>
    </xf>
    <xf numFmtId="174" fontId="27" fillId="17" borderId="22" xfId="25" applyNumberFormat="1" applyFont="1" applyFill="1" applyBorder="1" applyAlignment="1">
      <alignment horizontal="center" vertical="center" wrapText="1"/>
    </xf>
    <xf numFmtId="0" fontId="19" fillId="16" borderId="16" xfId="25" applyFont="1" applyFill="1" applyBorder="1" applyAlignment="1">
      <alignment horizontal="center" vertical="center" wrapText="1"/>
    </xf>
    <xf numFmtId="0" fontId="2" fillId="0" borderId="17" xfId="0" applyFont="1" applyBorder="1"/>
    <xf numFmtId="0" fontId="19" fillId="16" borderId="18" xfId="25" applyFont="1" applyFill="1" applyBorder="1" applyAlignment="1">
      <alignment horizontal="center" vertical="center" wrapText="1"/>
    </xf>
    <xf numFmtId="0" fontId="2" fillId="0" borderId="12" xfId="0" applyFont="1" applyBorder="1"/>
    <xf numFmtId="0" fontId="19" fillId="16" borderId="12" xfId="25" applyFont="1" applyFill="1" applyBorder="1" applyAlignment="1">
      <alignment horizontal="center" vertical="center" wrapText="1"/>
    </xf>
    <xf numFmtId="180" fontId="19" fillId="16" borderId="19" xfId="25" applyNumberFormat="1" applyFont="1" applyFill="1" applyBorder="1" applyAlignment="1">
      <alignment horizontal="center" vertical="center" wrapText="1"/>
    </xf>
    <xf numFmtId="180" fontId="19" fillId="16" borderId="15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9"/>
  <sheetViews>
    <sheetView tabSelected="1" workbookViewId="0">
      <pane ySplit="7" topLeftCell="A8" activePane="bottomLeft" state="frozen"/>
      <selection pane="bottomLeft" activeCell="C91" sqref="C91"/>
    </sheetView>
  </sheetViews>
  <sheetFormatPr baseColWidth="10" defaultRowHeight="13"/>
  <cols>
    <col min="1" max="1" width="35.6640625" customWidth="1"/>
    <col min="2" max="2" width="19.83203125" customWidth="1"/>
    <col min="3" max="3" width="45.1640625" customWidth="1"/>
    <col min="4" max="4" width="27.5" customWidth="1"/>
    <col min="5" max="5" width="24.1640625" customWidth="1"/>
    <col min="6" max="256" width="8.83203125" customWidth="1"/>
  </cols>
  <sheetData>
    <row r="1" spans="1:5" ht="18">
      <c r="A1" s="41" t="s">
        <v>954</v>
      </c>
      <c r="B1" s="41"/>
      <c r="C1" s="41"/>
      <c r="D1" s="41"/>
      <c r="E1" s="41"/>
    </row>
    <row r="2" spans="1:5" ht="18">
      <c r="A2" s="41" t="s">
        <v>955</v>
      </c>
      <c r="B2" s="41"/>
      <c r="C2" s="41"/>
      <c r="D2" s="41"/>
      <c r="E2" s="41"/>
    </row>
    <row r="3" spans="1:5" ht="18">
      <c r="A3" s="41" t="s">
        <v>956</v>
      </c>
      <c r="B3" s="41"/>
      <c r="C3" s="41"/>
      <c r="D3" s="41"/>
      <c r="E3" s="41"/>
    </row>
    <row r="4" spans="1:5" ht="15" thickBot="1">
      <c r="A4" s="9"/>
      <c r="B4" s="9"/>
      <c r="C4" s="9"/>
      <c r="D4" s="9"/>
      <c r="E4" s="20"/>
    </row>
    <row r="5" spans="1:5" ht="24" thickBot="1">
      <c r="A5" s="42" t="s">
        <v>899</v>
      </c>
      <c r="B5" s="43"/>
      <c r="C5" s="43"/>
      <c r="D5" s="43"/>
      <c r="E5" s="44"/>
    </row>
    <row r="6" spans="1:5">
      <c r="A6" s="45" t="s">
        <v>0</v>
      </c>
      <c r="B6" s="47" t="s">
        <v>1</v>
      </c>
      <c r="C6" s="47" t="s">
        <v>2</v>
      </c>
      <c r="D6" s="47" t="s">
        <v>3</v>
      </c>
      <c r="E6" s="50" t="s">
        <v>10</v>
      </c>
    </row>
    <row r="7" spans="1:5" ht="14" thickBot="1">
      <c r="A7" s="46"/>
      <c r="B7" s="48"/>
      <c r="C7" s="48"/>
      <c r="D7" s="49"/>
      <c r="E7" s="51"/>
    </row>
    <row r="8" spans="1:5" ht="34">
      <c r="A8" s="38" t="s">
        <v>957</v>
      </c>
      <c r="B8" s="6" t="s">
        <v>4</v>
      </c>
      <c r="C8" s="6" t="s">
        <v>252</v>
      </c>
      <c r="D8" s="16" t="s">
        <v>132</v>
      </c>
      <c r="E8" s="25">
        <f>7.675-0.012-0.102-0.301-0.004-0.004-0.008-0.04-0.5-0.04-0.235-0.004-0.012-0.012-0.012-0.012-0.004-0.012-0.03-0.004-0.004-0.121-0.004-0.004-0.067-0.004-0.024-0.012-0.004-0.004-0.004-0.04-0.008-0.004-0.004-0.024-0.049-0.004-0.04-0.004-0.3-0.004-0.004-0.498-0.02-0.004-0.004-0.101-0.004-0.004-0.067-0.02-0.053-1.2-0.008-0.004-0.028-0.052-0.004-0.066-0.065-0.069-0.5-0.04-0.004-0.04-0.02-0.02-0.066-0.032-0.004-0.016-0.012-0.048-0.024-0.04-0.032-0.004-0.004-0.004-0.004-0.058-0.083-0.004-0.008-0.036-0.066-0.04-0.252-0.008-0.004-0.016-0.004-0.004-0.004-0.016-0.07-0.016-0.04-0.008-0.008-0.501-0.004-0.048-0.008-0.02-1-0.008-0.04-0.024-0.008-0.004-0.008+(0.162)-0.024-0.024-0.004-0.004-0.012-0.004-0.008-0.004-0.004-0.016-0.004-0.032+(0.025)-0.02</f>
        <v>1.4000000000010848E-2</v>
      </c>
    </row>
    <row r="9" spans="1:5" ht="34">
      <c r="A9" s="38" t="s">
        <v>957</v>
      </c>
      <c r="B9" s="6" t="s">
        <v>4</v>
      </c>
      <c r="C9" s="6" t="s">
        <v>252</v>
      </c>
      <c r="D9" s="16" t="s">
        <v>132</v>
      </c>
      <c r="E9" s="26">
        <f>8.74-0.217-0.099-0.073-0.499-0.04-0.008-0.004-0.036-0.016-0.012-0.15-0.008-0.044-0.004-0.016-0.504-0.055-0.055-0.387-0.052-0.004-0.004-5</f>
        <v>1.453000000000003</v>
      </c>
    </row>
    <row r="10" spans="1:5" ht="34">
      <c r="A10" s="38" t="s">
        <v>957</v>
      </c>
      <c r="B10" s="6" t="s">
        <v>4</v>
      </c>
      <c r="C10" s="6" t="s">
        <v>253</v>
      </c>
      <c r="D10" s="16" t="s">
        <v>50</v>
      </c>
      <c r="E10" s="25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-0.048-0.03-0.035-0.005-0.498-0.005-0.05-0.497-0.04-0.048-0.359-0.049-0.015-0.5</f>
        <v>0.15199999999999703</v>
      </c>
    </row>
    <row r="11" spans="1:5" ht="34">
      <c r="A11" s="38" t="s">
        <v>957</v>
      </c>
      <c r="B11" s="6" t="s">
        <v>4</v>
      </c>
      <c r="C11" s="6" t="s">
        <v>210</v>
      </c>
      <c r="D11" s="16" t="s">
        <v>57</v>
      </c>
      <c r="E11" s="25">
        <f>9.742-1.981-1-3.84-1.954-0.068-0.102-0.294-0.007-0.007-0.021-0.007-0.068-0.007-0.007-0.103-0.007-0.007-0.245+(0.004)</f>
        <v>2.1000000000001181E-2</v>
      </c>
    </row>
    <row r="12" spans="1:5" ht="34">
      <c r="A12" s="38" t="s">
        <v>957</v>
      </c>
      <c r="B12" s="6" t="s">
        <v>4</v>
      </c>
      <c r="C12" s="6" t="s">
        <v>210</v>
      </c>
      <c r="D12" s="16" t="s">
        <v>57</v>
      </c>
      <c r="E12" s="25">
        <f>20.672-3.785-0.502-1.86-0.007-1.855-0.344-0.1-0.055-0.212-1.885-0.069-0.042-0.406-8.392</f>
        <v>1.158000000000003</v>
      </c>
    </row>
    <row r="13" spans="1:5" ht="34">
      <c r="A13" s="38" t="s">
        <v>957</v>
      </c>
      <c r="B13" s="6" t="s">
        <v>4</v>
      </c>
      <c r="C13" s="6" t="s">
        <v>396</v>
      </c>
      <c r="D13" s="16" t="s">
        <v>392</v>
      </c>
      <c r="E13" s="25">
        <f>4.99-0.019-1.004-0.019-0.038-0.019-0.019-0.019-0.114-0.019-0.948-0.019-0.19-0.038-0.076-0.095-0.153-0.115-0.019-0.171-0.038-0.514-0.096-0.076-0.17-1</f>
        <v>1.9999999999991136E-3</v>
      </c>
    </row>
    <row r="14" spans="1:5" ht="34">
      <c r="A14" s="38" t="s">
        <v>957</v>
      </c>
      <c r="B14" s="6" t="s">
        <v>4</v>
      </c>
      <c r="C14" s="6" t="s">
        <v>396</v>
      </c>
      <c r="D14" s="16" t="s">
        <v>392</v>
      </c>
      <c r="E14" s="25">
        <f>14.34-1.502-1.502-4.94-0.037-4.45-1.519-0.095</f>
        <v>0.29499999999999815</v>
      </c>
    </row>
    <row r="15" spans="1:5" ht="34">
      <c r="A15" s="38" t="s">
        <v>957</v>
      </c>
      <c r="B15" s="6" t="s">
        <v>4</v>
      </c>
      <c r="C15" s="6" t="s">
        <v>210</v>
      </c>
      <c r="D15" s="10" t="s">
        <v>45</v>
      </c>
      <c r="E15" s="27">
        <f>9.584-0.502-0.17-0.066-0.18-0.082-0.5-0.036-0.045-0.009-0.082-0.009-0.057-0.027-0.18-0.073-0.036-0.066-0.027-0.009-0.045-0.207-0.045-0.107-0.009-0.205-0.018-0.009-0.05-0.09</f>
        <v>6.6429999999999971</v>
      </c>
    </row>
    <row r="16" spans="1:5" ht="34">
      <c r="A16" s="38" t="s">
        <v>957</v>
      </c>
      <c r="B16" s="6" t="s">
        <v>4</v>
      </c>
      <c r="C16" s="6" t="s">
        <v>210</v>
      </c>
      <c r="D16" s="16" t="s">
        <v>39</v>
      </c>
      <c r="E16" s="25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7" spans="1:5" ht="34">
      <c r="A17" s="38" t="s">
        <v>957</v>
      </c>
      <c r="B17" s="6" t="s">
        <v>4</v>
      </c>
      <c r="C17" s="6" t="s">
        <v>210</v>
      </c>
      <c r="D17" s="16" t="s">
        <v>39</v>
      </c>
      <c r="E17" s="25">
        <f>5.96-0.044-0.248-0.011-1.002-0.275-0.051-0.022-0.011</f>
        <v>4.2959999999999994</v>
      </c>
    </row>
    <row r="18" spans="1:5" ht="34">
      <c r="A18" s="38" t="s">
        <v>957</v>
      </c>
      <c r="B18" s="6" t="s">
        <v>4</v>
      </c>
      <c r="C18" s="6" t="s">
        <v>396</v>
      </c>
      <c r="D18" s="16" t="s">
        <v>393</v>
      </c>
      <c r="E18" s="25">
        <f>4.88-0.374-1.492-1.52-0.144-0.029-0.029-0.06-0.116-0.145-0.145-0.029-0.144-0.142-0.029-0.03-0.146-0.029-0.029</f>
        <v>0.24800000000000014</v>
      </c>
    </row>
    <row r="19" spans="1:5" ht="34">
      <c r="A19" s="38" t="s">
        <v>957</v>
      </c>
      <c r="B19" s="6" t="s">
        <v>4</v>
      </c>
      <c r="C19" s="6" t="s">
        <v>81</v>
      </c>
      <c r="D19" s="16" t="s">
        <v>71</v>
      </c>
      <c r="E19" s="26">
        <f>2.874-0.208-0.166-0.012-0.048-0.024-0.077-0.055-0.089-0.077-0.165-0.012-0.036-0.012-0.34-0.012-0.165-0.036-0.012-0.033-0.036-0.012-0.012</f>
        <v>1.2349999999999997</v>
      </c>
    </row>
    <row r="20" spans="1:5" ht="34">
      <c r="A20" s="38" t="s">
        <v>957</v>
      </c>
      <c r="B20" s="11" t="s">
        <v>4</v>
      </c>
      <c r="C20" s="11" t="s">
        <v>210</v>
      </c>
      <c r="D20" s="22" t="s">
        <v>40</v>
      </c>
      <c r="E20" s="27">
        <f>7.372-3.876-0.301-0.083-0.056-0.014-0.041-0.028-0.111-0.014-0.6-0.014-0.014-0.014-0.055-1.515-0.014</f>
        <v>0.62200000000000033</v>
      </c>
    </row>
    <row r="21" spans="1:5" ht="34">
      <c r="A21" s="38" t="s">
        <v>957</v>
      </c>
      <c r="B21" s="6" t="s">
        <v>4</v>
      </c>
      <c r="C21" s="6" t="s">
        <v>396</v>
      </c>
      <c r="D21" s="16" t="s">
        <v>394</v>
      </c>
      <c r="E21" s="25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-0.2</f>
        <v>0.87500000000000311</v>
      </c>
    </row>
    <row r="22" spans="1:5" ht="34">
      <c r="A22" s="38" t="s">
        <v>957</v>
      </c>
      <c r="B22" s="6" t="s">
        <v>4</v>
      </c>
      <c r="C22" s="6" t="s">
        <v>396</v>
      </c>
      <c r="D22" s="16" t="s">
        <v>394</v>
      </c>
      <c r="E22" s="25">
        <f>18.34-0.42-0.076-0.46-15</f>
        <v>2.3839999999999968</v>
      </c>
    </row>
    <row r="23" spans="1:5" ht="34">
      <c r="A23" s="38" t="s">
        <v>957</v>
      </c>
      <c r="B23" s="1" t="s">
        <v>4</v>
      </c>
      <c r="C23" s="6" t="s">
        <v>81</v>
      </c>
      <c r="D23" s="10" t="s">
        <v>75</v>
      </c>
      <c r="E23" s="28">
        <f>8.376-0.052-0.5-0.036-0.018-0.206-0.018-0.71-0.121-0.208-0.036-0.018-0.018-0.209-0.206-0.051-0.018-0.608-0.018-0.036-0.018-0.018-0.191-0.036-0.174-0.018-0.209-0.036-0.036-0.259-0.053-0.207-0.036-0.52-0.07-0.208-0.018-0.502-0.018-0.018-0.174-0.208-0.036-0.017-0.018-0.17-0.382-0.194-0.504-0.018-0.052-0.018-0.207-0.018-0.018-0.191-0.036-0.018-0.018-0.052-0.018</f>
        <v>0.27700000000000374</v>
      </c>
    </row>
    <row r="24" spans="1:5" ht="34">
      <c r="A24" s="38" t="s">
        <v>957</v>
      </c>
      <c r="B24" s="1" t="s">
        <v>4</v>
      </c>
      <c r="C24" s="6" t="s">
        <v>81</v>
      </c>
      <c r="D24" s="10" t="s">
        <v>75</v>
      </c>
      <c r="E24" s="28">
        <f>9.208-0.206-0.43-0.173-0.285-1.496-0.052</f>
        <v>6.5660000000000007</v>
      </c>
    </row>
    <row r="25" spans="1:5" ht="34">
      <c r="A25" s="38" t="s">
        <v>957</v>
      </c>
      <c r="B25" s="6" t="s">
        <v>4</v>
      </c>
      <c r="C25" s="6" t="s">
        <v>210</v>
      </c>
      <c r="D25" s="10" t="s">
        <v>42</v>
      </c>
      <c r="E25" s="27">
        <f>3.757-0.991-0.168-0.104-0.022-0.044-0.146-0.209-0.994-0.062</f>
        <v>1.0169999999999999</v>
      </c>
    </row>
    <row r="26" spans="1:5" ht="34">
      <c r="A26" s="38" t="s">
        <v>957</v>
      </c>
      <c r="B26" s="1" t="s">
        <v>19</v>
      </c>
      <c r="C26" s="6" t="s">
        <v>467</v>
      </c>
      <c r="D26" s="7" t="s">
        <v>132</v>
      </c>
      <c r="E26" s="28">
        <f>2.984-0.199-0.004-0.201-0.036-0.04-0.004-0.04-0.004-0.008-0.004-0.004-0.004-0.5-0.004-0.004-0.004-0.004-0.004-0.004-0.302-0.057-0.004-0.051-0.004-0.012-0.004</f>
        <v>1.478</v>
      </c>
    </row>
    <row r="27" spans="1:5" ht="34">
      <c r="A27" s="38" t="s">
        <v>957</v>
      </c>
      <c r="B27" s="12" t="s">
        <v>19</v>
      </c>
      <c r="C27" s="11" t="s">
        <v>210</v>
      </c>
      <c r="D27" s="14" t="s">
        <v>362</v>
      </c>
      <c r="E27" s="28">
        <f>0.526-0.1-0.118+(0.088)-0.007-0.001-0.001-0.01-0.001-0.001</f>
        <v>0.375</v>
      </c>
    </row>
    <row r="28" spans="1:5" ht="34">
      <c r="A28" s="38" t="s">
        <v>957</v>
      </c>
      <c r="B28" s="12" t="s">
        <v>19</v>
      </c>
      <c r="C28" s="11" t="s">
        <v>210</v>
      </c>
      <c r="D28" s="14" t="s">
        <v>344</v>
      </c>
      <c r="E28" s="28">
        <f>0.118-0.014</f>
        <v>0.104</v>
      </c>
    </row>
    <row r="29" spans="1:5" ht="34">
      <c r="A29" s="38" t="s">
        <v>957</v>
      </c>
      <c r="B29" s="12" t="s">
        <v>19</v>
      </c>
      <c r="C29" s="6" t="s">
        <v>467</v>
      </c>
      <c r="D29" s="14" t="s">
        <v>424</v>
      </c>
      <c r="E29" s="28">
        <f>2.974-0.027-0.04-0.035-0.015-0.48-0.005-0.005-0.298-0.05-0.01-0.005-0.005</f>
        <v>1.9990000000000006</v>
      </c>
    </row>
    <row r="30" spans="1:5" ht="34">
      <c r="A30" s="38" t="s">
        <v>957</v>
      </c>
      <c r="B30" s="12" t="s">
        <v>19</v>
      </c>
      <c r="C30" s="6" t="s">
        <v>467</v>
      </c>
      <c r="D30" s="14" t="s">
        <v>50</v>
      </c>
      <c r="E30" s="28">
        <f>3.069-0.034-0.005-0.5-0.09-0.005-0.005-0.298-0.005</f>
        <v>2.1270000000000007</v>
      </c>
    </row>
    <row r="31" spans="1:5" ht="34">
      <c r="A31" s="38" t="s">
        <v>957</v>
      </c>
      <c r="B31" s="12" t="s">
        <v>19</v>
      </c>
      <c r="C31" s="6" t="s">
        <v>467</v>
      </c>
      <c r="D31" s="14" t="s">
        <v>51</v>
      </c>
      <c r="E31" s="28">
        <f>3.038-0.303-0.099-0.006-0.006-0.012-0.018-0.049-0.024-0.066-0.006-0.102-0.05-0.006-0.006-0.006-0.104-0.018-0.012-0.006-0.006-0.057-0.006-0.298-0.006-0.006-0.056-0.006-0.1-0.012-0.006-0.006-0.012-0.103-0.018-0.006</f>
        <v>1.4350000000000023</v>
      </c>
    </row>
    <row r="32" spans="1:5" ht="34">
      <c r="A32" s="38" t="s">
        <v>957</v>
      </c>
      <c r="B32" s="1" t="s">
        <v>19</v>
      </c>
      <c r="C32" s="6" t="s">
        <v>187</v>
      </c>
      <c r="D32" s="7" t="s">
        <v>188</v>
      </c>
      <c r="E32" s="28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3" spans="1:5" ht="34">
      <c r="A33" s="38" t="s">
        <v>957</v>
      </c>
      <c r="B33" s="12" t="s">
        <v>19</v>
      </c>
      <c r="C33" s="11" t="s">
        <v>358</v>
      </c>
      <c r="D33" s="14" t="s">
        <v>343</v>
      </c>
      <c r="E33" s="28">
        <f>2.11-0.016-0.048-0.016-0.755-0.016-0.032-0.804-0.016-(0.007)-0.016-0.016-0.016-0.016-0.016-0.016-0.016-0.016-0.016-0.109-0.142</f>
        <v>4.9999999999996991E-3</v>
      </c>
    </row>
    <row r="34" spans="1:5" ht="34">
      <c r="A34" s="38" t="s">
        <v>957</v>
      </c>
      <c r="B34" s="12" t="s">
        <v>19</v>
      </c>
      <c r="C34" s="11" t="s">
        <v>358</v>
      </c>
      <c r="D34" s="14" t="s">
        <v>405</v>
      </c>
      <c r="E34" s="28">
        <f>5.152-0.054-0.019-0.019-0.019-0.108-0.019-0.019-0.038-0.038-0.038-0.019-0.308-0.019-0.108-0.019-0.019-0.019-0.019-0.019-0.019-0.2-0.019-0.49-0.038-0.82-0.019-0.038-0.019-0.019-0.019-0.019-0.038-0.019-0.019-0.018-0.999-0.019-0.038-0.055-0.019-0.019-0.019-0.019-0.304-0.019</f>
        <v>0.90899999999999814</v>
      </c>
    </row>
    <row r="35" spans="1:5" ht="34">
      <c r="A35" s="38" t="s">
        <v>957</v>
      </c>
      <c r="B35" s="12" t="s">
        <v>19</v>
      </c>
      <c r="C35" s="11" t="s">
        <v>358</v>
      </c>
      <c r="D35" s="14" t="s">
        <v>405</v>
      </c>
      <c r="E35" s="28">
        <f>0.308</f>
        <v>0.308</v>
      </c>
    </row>
    <row r="36" spans="1:5" ht="34">
      <c r="A36" s="38" t="s">
        <v>957</v>
      </c>
      <c r="B36" s="12" t="s">
        <v>19</v>
      </c>
      <c r="C36" s="11" t="s">
        <v>358</v>
      </c>
      <c r="D36" s="14" t="s">
        <v>748</v>
      </c>
      <c r="E36" s="28">
        <f>2.944-(0.482)-0.018-0.018-0.051-0.174-0.018-0.296-0.278-0.018-0.036-0.018-0.018-0.018-0.173-0.085</f>
        <v>1.2430000000000001</v>
      </c>
    </row>
    <row r="37" spans="1:5" ht="34">
      <c r="A37" s="38" t="s">
        <v>957</v>
      </c>
      <c r="B37" s="1" t="s">
        <v>19</v>
      </c>
      <c r="C37" s="6" t="s">
        <v>467</v>
      </c>
      <c r="D37" s="7" t="s">
        <v>45</v>
      </c>
      <c r="E37" s="28">
        <f>2.974-0.252-0.302-0.126-0.018-0.034-0.045-0.036-0.502-0.298-0.018-0.018-0.036-0.497-0.2-0.027-0.009-0.027</f>
        <v>0.52900000000000069</v>
      </c>
    </row>
    <row r="38" spans="1:5" ht="34">
      <c r="A38" s="38" t="s">
        <v>957</v>
      </c>
      <c r="B38" s="1" t="s">
        <v>19</v>
      </c>
      <c r="C38" s="6" t="s">
        <v>467</v>
      </c>
      <c r="D38" s="7" t="s">
        <v>425</v>
      </c>
      <c r="E38" s="28">
        <f>2.953-0.7-0.5-0.04-0.01-0.02-0.067-0.197-0.204-0.118</f>
        <v>1.097</v>
      </c>
    </row>
    <row r="39" spans="1:5" ht="34">
      <c r="A39" s="38" t="s">
        <v>957</v>
      </c>
      <c r="B39" s="1" t="s">
        <v>19</v>
      </c>
      <c r="C39" s="6" t="s">
        <v>187</v>
      </c>
      <c r="D39" s="7" t="s">
        <v>189</v>
      </c>
      <c r="E39" s="28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0" spans="1:5" ht="34">
      <c r="A40" s="38" t="s">
        <v>957</v>
      </c>
      <c r="B40" s="12" t="s">
        <v>19</v>
      </c>
      <c r="C40" s="11" t="s">
        <v>358</v>
      </c>
      <c r="D40" s="14" t="s">
        <v>406</v>
      </c>
      <c r="E40" s="28">
        <f>5.17-0.165-0.056-0.028-0.028-0.028-0.028-0.217-0.11-0.301-0.055-0.163-0.028-0.028-0.028-0.08-0.028-0.488-0.164-0.082-0.272-0.406-0.082-0.49-0.163-0.056-0.299-0.49-0.054-0.516-0.11-0.028</f>
        <v>9.9000000000001892E-2</v>
      </c>
    </row>
    <row r="41" spans="1:5" ht="34">
      <c r="A41" s="38" t="s">
        <v>957</v>
      </c>
      <c r="B41" s="12" t="s">
        <v>19</v>
      </c>
      <c r="C41" s="11" t="s">
        <v>358</v>
      </c>
      <c r="D41" s="14" t="s">
        <v>406</v>
      </c>
      <c r="E41" s="28">
        <f>0.406-0.028</f>
        <v>0.378</v>
      </c>
    </row>
    <row r="42" spans="1:5" ht="34">
      <c r="A42" s="38" t="s">
        <v>957</v>
      </c>
      <c r="B42" s="12" t="s">
        <v>19</v>
      </c>
      <c r="C42" s="11" t="s">
        <v>358</v>
      </c>
      <c r="D42" s="14" t="s">
        <v>69</v>
      </c>
      <c r="E42" s="28">
        <f>10.122-0.072-0.32-0.037-0.212-0.037-0.037-0.072-0.214-0.037-0.992-0.037-0.107-0.037-0.11-0.037-0.108-0.037-0.037-0.037-0.46-0.214-0.037-0.037-0.037-0.037-0.037-5</f>
        <v>1.6859999999999982</v>
      </c>
    </row>
    <row r="43" spans="1:5" ht="34">
      <c r="A43" s="38" t="s">
        <v>957</v>
      </c>
      <c r="B43" s="1" t="s">
        <v>19</v>
      </c>
      <c r="C43" s="6" t="s">
        <v>467</v>
      </c>
      <c r="D43" s="7" t="s">
        <v>71</v>
      </c>
      <c r="E43" s="28">
        <f>2.906-1.504-0.036-0.167-0.036-0.17-0.012-0.067-0.012-0.056-0.012-0.024</f>
        <v>0.80999999999999983</v>
      </c>
    </row>
    <row r="44" spans="1:5" ht="34">
      <c r="A44" s="38" t="s">
        <v>957</v>
      </c>
      <c r="B44" s="1" t="s">
        <v>19</v>
      </c>
      <c r="C44" s="6" t="s">
        <v>467</v>
      </c>
      <c r="D44" s="7" t="s">
        <v>59</v>
      </c>
      <c r="E44" s="28">
        <f>3.056-0.251-0.012-0.238-0.012-0.012-0.12-0.036-0.024-0.024-0.296</f>
        <v>2.0310000000000001</v>
      </c>
    </row>
    <row r="45" spans="1:5" ht="34">
      <c r="A45" s="38" t="s">
        <v>957</v>
      </c>
      <c r="B45" s="12" t="s">
        <v>19</v>
      </c>
      <c r="C45" s="11" t="s">
        <v>358</v>
      </c>
      <c r="D45" s="14" t="s">
        <v>288</v>
      </c>
      <c r="E45" s="28">
        <f>3.042-0.049</f>
        <v>2.9929999999999999</v>
      </c>
    </row>
    <row r="46" spans="1:5" ht="34">
      <c r="A46" s="38" t="s">
        <v>957</v>
      </c>
      <c r="B46" s="12" t="s">
        <v>19</v>
      </c>
      <c r="C46" s="11" t="s">
        <v>358</v>
      </c>
      <c r="D46" s="14" t="s">
        <v>747</v>
      </c>
      <c r="E46" s="28">
        <f>3.066-0.06-0.121-0.06-(0.273)-0.114</f>
        <v>2.4379999999999997</v>
      </c>
    </row>
    <row r="47" spans="1:5" ht="34">
      <c r="A47" s="38" t="s">
        <v>957</v>
      </c>
      <c r="B47" s="12" t="s">
        <v>6</v>
      </c>
      <c r="C47" s="11" t="s">
        <v>566</v>
      </c>
      <c r="D47" s="16" t="s">
        <v>238</v>
      </c>
      <c r="E47" s="25">
        <f>10.061-0.06-0.5-0.012-0.006-0.03-0.003-0.003-0.102-0.009-0.003-0.2-0.052-0.501-1.004-0.003-0.003-0.012-0.003-0.009-1.648-0.003-0.015-0.012-0.16-0.003-2.007-2</f>
        <v>1.6980000000000008</v>
      </c>
    </row>
    <row r="48" spans="1:5" ht="34">
      <c r="A48" s="38" t="s">
        <v>957</v>
      </c>
      <c r="B48" s="12" t="s">
        <v>6</v>
      </c>
      <c r="C48" s="11" t="s">
        <v>32</v>
      </c>
      <c r="D48" s="16" t="s">
        <v>38</v>
      </c>
      <c r="E48" s="26">
        <f>2-1.33-0.012-0.008+0.012-0.101-0.252</f>
        <v>0.30899999999999994</v>
      </c>
    </row>
    <row r="49" spans="1:5" ht="34">
      <c r="A49" s="38" t="s">
        <v>957</v>
      </c>
      <c r="B49" s="12" t="s">
        <v>6</v>
      </c>
      <c r="C49" s="11" t="s">
        <v>32</v>
      </c>
      <c r="D49" s="16" t="s">
        <v>239</v>
      </c>
      <c r="E49" s="26">
        <f>1.59-0.302-0.3-0.2-0.0042-0.008-0.008-0.004-0.302-0.262</f>
        <v>0.19980000000000003</v>
      </c>
    </row>
    <row r="50" spans="1:5" ht="34">
      <c r="A50" s="38" t="s">
        <v>957</v>
      </c>
      <c r="B50" s="12" t="s">
        <v>6</v>
      </c>
      <c r="C50" s="11" t="s">
        <v>566</v>
      </c>
      <c r="D50" s="16" t="s">
        <v>240</v>
      </c>
      <c r="E50" s="25">
        <f>10.006-0.005-0.198-0.5-0.155-0.01-0.05-0.099-0.249-0.3-0.248-0.01-0.005-0.005-0.014-0.01-0.5-0.005-4-3</f>
        <v>0.64299999999999802</v>
      </c>
    </row>
    <row r="51" spans="1:5" ht="34">
      <c r="A51" s="38" t="s">
        <v>957</v>
      </c>
      <c r="B51" s="12" t="s">
        <v>6</v>
      </c>
      <c r="C51" s="12" t="s">
        <v>92</v>
      </c>
      <c r="D51" s="8" t="s">
        <v>29</v>
      </c>
      <c r="E51" s="30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-0.074-0.055-0.056</f>
        <v>0.41900000000000992</v>
      </c>
    </row>
    <row r="52" spans="1:5" ht="34">
      <c r="A52" s="38" t="s">
        <v>957</v>
      </c>
      <c r="B52" s="12" t="s">
        <v>6</v>
      </c>
      <c r="C52" s="12" t="s">
        <v>92</v>
      </c>
      <c r="D52" s="8" t="s">
        <v>29</v>
      </c>
      <c r="E52" s="30">
        <f>4.82-0.762-0.019-0.185-1.008-0.57</f>
        <v>2.2759999999999998</v>
      </c>
    </row>
    <row r="53" spans="1:5" ht="34">
      <c r="A53" s="38" t="s">
        <v>957</v>
      </c>
      <c r="B53" s="12" t="s">
        <v>6</v>
      </c>
      <c r="C53" s="12" t="s">
        <v>605</v>
      </c>
      <c r="D53" s="8" t="s">
        <v>29</v>
      </c>
      <c r="E53" s="30">
        <f>8.32-0.132-0.019-0.81-1-0.038-2.5-1.083-0.226-0.019-1.01-0.513</f>
        <v>0.96999999999999942</v>
      </c>
    </row>
    <row r="54" spans="1:5" ht="34">
      <c r="A54" s="38" t="s">
        <v>957</v>
      </c>
      <c r="B54" s="12" t="s">
        <v>6</v>
      </c>
      <c r="C54" s="12" t="s">
        <v>605</v>
      </c>
      <c r="D54" s="8" t="s">
        <v>28</v>
      </c>
      <c r="E54" s="28">
        <f>23.74-0.024-0.022-0.091-2.025-0.496-0.024-20.624</f>
        <v>0.43400000000000105</v>
      </c>
    </row>
    <row r="55" spans="1:5" ht="34">
      <c r="A55" s="38" t="s">
        <v>957</v>
      </c>
      <c r="B55" s="12" t="s">
        <v>6</v>
      </c>
      <c r="C55" s="12" t="s">
        <v>269</v>
      </c>
      <c r="D55" s="8" t="s">
        <v>241</v>
      </c>
      <c r="E55" s="28">
        <f>1.58-0.196-0.017-0.009-0.036-0.018-0.297-0.018</f>
        <v>0.98900000000000032</v>
      </c>
    </row>
    <row r="56" spans="1:5" ht="34">
      <c r="A56" s="38" t="s">
        <v>957</v>
      </c>
      <c r="B56" s="12" t="s">
        <v>6</v>
      </c>
      <c r="C56" s="12" t="s">
        <v>78</v>
      </c>
      <c r="D56" s="8" t="s">
        <v>26</v>
      </c>
      <c r="E56" s="30">
        <f>10.92-0.143-0.03-8.22-1.882-0.28-0.03-0.058-0.029-0.198</f>
        <v>4.9999999999999295E-2</v>
      </c>
    </row>
    <row r="57" spans="1:5" ht="34">
      <c r="A57" s="38" t="s">
        <v>957</v>
      </c>
      <c r="B57" s="12" t="s">
        <v>6</v>
      </c>
      <c r="C57" s="12" t="s">
        <v>78</v>
      </c>
      <c r="D57" s="8" t="s">
        <v>26</v>
      </c>
      <c r="E57" s="28">
        <f>18.67-0.141-0.085-0.506-0.311-0.14-0.029-0.028-0.028-0.31-0.03-0.986-0.198-1.012-0.394-0.03-0.085-0.14-0.057-0.253-0.226-0.31-0.09-0.056-11.24-0.056-1.014-0.338-0.224+(0.013)-0.085</f>
        <v>0.28100000000000108</v>
      </c>
    </row>
    <row r="58" spans="1:5" ht="34">
      <c r="A58" s="38" t="s">
        <v>957</v>
      </c>
      <c r="B58" s="12" t="s">
        <v>6</v>
      </c>
      <c r="C58" s="12" t="s">
        <v>509</v>
      </c>
      <c r="D58" s="8" t="s">
        <v>26</v>
      </c>
      <c r="E58" s="28">
        <f>29.45-0.114-0.42-0.224-0.084-0.2-6.44-0.084-0.03-0.114-0.504-0.306-1.02-0.03-1.493-5.99-4.65-0.056-0.504-1.83-0.5-1.02-2.49</f>
        <v>1.346999999999992</v>
      </c>
    </row>
    <row r="59" spans="1:5" ht="34">
      <c r="A59" s="38" t="s">
        <v>957</v>
      </c>
      <c r="B59" s="12" t="s">
        <v>6</v>
      </c>
      <c r="C59" s="12" t="s">
        <v>605</v>
      </c>
      <c r="D59" s="8" t="s">
        <v>117</v>
      </c>
      <c r="E59" s="28">
        <f>26.63-20</f>
        <v>6.629999999999999</v>
      </c>
    </row>
    <row r="60" spans="1:5" ht="34">
      <c r="A60" s="38" t="s">
        <v>957</v>
      </c>
      <c r="B60" s="12" t="s">
        <v>6</v>
      </c>
      <c r="C60" s="12" t="s">
        <v>148</v>
      </c>
      <c r="D60" s="8" t="s">
        <v>27</v>
      </c>
      <c r="E60" s="28">
        <f>16.84-4.05-4.79-0.114-0.04-4.04-2.064-0.075-0.04-0.523-0.299-0.3-0.074-0.04-0.076-0.04-0.04-0.04-0.076-0.04</f>
        <v>7.8999999999999237E-2</v>
      </c>
    </row>
    <row r="61" spans="1:5" ht="34">
      <c r="A61" s="38" t="s">
        <v>957</v>
      </c>
      <c r="B61" s="12" t="s">
        <v>6</v>
      </c>
      <c r="C61" s="12" t="s">
        <v>361</v>
      </c>
      <c r="D61" s="8" t="s">
        <v>27</v>
      </c>
      <c r="E61" s="28">
        <f>11.39-0.412-0.338-0.488-1.004-3.98-0.075-0.528-1.014-0.825-0.112-2</f>
        <v>0.61400000000000077</v>
      </c>
    </row>
    <row r="62" spans="1:5" ht="34">
      <c r="A62" s="38" t="s">
        <v>957</v>
      </c>
      <c r="B62" s="12" t="s">
        <v>6</v>
      </c>
      <c r="C62" s="12" t="s">
        <v>361</v>
      </c>
      <c r="D62" s="8" t="s">
        <v>27</v>
      </c>
      <c r="E62" s="28">
        <f>20.85-1.012-0.113-0.302-0.3-0.562-1.01-0.04-0.04-0.639-1.99-4.28-0.526-0.488-1.69-0.12-0.038-0.64-3</f>
        <v>4.0600000000000023</v>
      </c>
    </row>
    <row r="63" spans="1:5" ht="34">
      <c r="A63" s="38" t="s">
        <v>957</v>
      </c>
      <c r="B63" s="12" t="s">
        <v>6</v>
      </c>
      <c r="C63" s="12" t="s">
        <v>46</v>
      </c>
      <c r="D63" s="8" t="s">
        <v>31</v>
      </c>
      <c r="E63" s="28">
        <f>10.88-0.886-0.98-0.186-0.51-0.513-0.56-0.374-0.048-0.422-0.518-0.048-0.188-0.233-0.048-2.004-0.048-0.514-0.048-0.326-0.048-0.14-0.982-0.048-0.326-0.093-0.093-0.093-0.048-0.142-0.093-0.048-0.092-0.048</f>
        <v>0.13200000000000217</v>
      </c>
    </row>
    <row r="64" spans="1:5" ht="34">
      <c r="A64" s="38" t="s">
        <v>957</v>
      </c>
      <c r="B64" s="12" t="s">
        <v>6</v>
      </c>
      <c r="C64" s="12" t="s">
        <v>46</v>
      </c>
      <c r="D64" s="8" t="s">
        <v>31</v>
      </c>
      <c r="E64" s="28">
        <f>14.48-2.994-0.99-0.516-0.514-1.02-0.65-0.976-0.512-0.65-1.31-0.378-0.282-0.978-0.984-0.514-0.236-0.772</f>
        <v>0.20400000000000085</v>
      </c>
    </row>
    <row r="65" spans="1:5" ht="34">
      <c r="A65" s="38" t="s">
        <v>957</v>
      </c>
      <c r="B65" s="12" t="s">
        <v>6</v>
      </c>
      <c r="C65" s="12" t="s">
        <v>78</v>
      </c>
      <c r="D65" s="8" t="s">
        <v>201</v>
      </c>
      <c r="E65" s="30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66" spans="1:5" ht="34">
      <c r="A66" s="38" t="s">
        <v>957</v>
      </c>
      <c r="B66" s="12" t="s">
        <v>6</v>
      </c>
      <c r="C66" s="12" t="s">
        <v>78</v>
      </c>
      <c r="D66" s="8" t="s">
        <v>201</v>
      </c>
      <c r="E66" s="30">
        <f>19.06-1.02-0.113-0.057-0.622-0.502-0.057-0.45-0.672-0.508-0.9-2.994-0.285-0.507-0.112-1.016-0.506-1.016-0.395-1.526-2.984-0.734-0.512-1.5</f>
        <v>7.2000000000004949E-2</v>
      </c>
    </row>
    <row r="67" spans="1:5" ht="34">
      <c r="A67" s="38" t="s">
        <v>957</v>
      </c>
      <c r="B67" s="12" t="s">
        <v>6</v>
      </c>
      <c r="C67" s="12" t="s">
        <v>148</v>
      </c>
      <c r="D67" s="8" t="s">
        <v>634</v>
      </c>
      <c r="E67" s="28">
        <f>16.72-0.056-1.85-1.127-2.58-0.113-4.52-1.862-0.342-0.057-3.27</f>
        <v>0.94299999999999828</v>
      </c>
    </row>
    <row r="68" spans="1:5" ht="34">
      <c r="A68" s="38" t="s">
        <v>957</v>
      </c>
      <c r="B68" s="12" t="s">
        <v>6</v>
      </c>
      <c r="C68" s="12" t="s">
        <v>645</v>
      </c>
      <c r="D68" s="8" t="s">
        <v>43</v>
      </c>
      <c r="E68" s="28">
        <f>4.085-0.103-0.273-0.274-0.055-0.218-0.33-0.309-0.053-0.34-0.111-1.5</f>
        <v>0.51899999999999924</v>
      </c>
    </row>
    <row r="69" spans="1:5" ht="34">
      <c r="A69" s="38" t="s">
        <v>957</v>
      </c>
      <c r="B69" s="12" t="s">
        <v>6</v>
      </c>
      <c r="C69" s="12" t="s">
        <v>645</v>
      </c>
      <c r="D69" s="8" t="s">
        <v>43</v>
      </c>
      <c r="E69" s="28">
        <f>5.255-3.755</f>
        <v>1.5</v>
      </c>
    </row>
    <row r="70" spans="1:5" ht="34">
      <c r="A70" s="38" t="s">
        <v>957</v>
      </c>
      <c r="B70" s="12" t="s">
        <v>6</v>
      </c>
      <c r="C70" s="12" t="s">
        <v>645</v>
      </c>
      <c r="D70" s="8" t="s">
        <v>83</v>
      </c>
      <c r="E70" s="28">
        <f>5.07-0.994-0.692-0.618-0.63-2.013</f>
        <v>0.12300000000000066</v>
      </c>
    </row>
    <row r="71" spans="1:5" ht="34">
      <c r="A71" s="38" t="s">
        <v>957</v>
      </c>
      <c r="B71" s="12" t="s">
        <v>6</v>
      </c>
      <c r="C71" s="12" t="s">
        <v>645</v>
      </c>
      <c r="D71" s="8" t="s">
        <v>168</v>
      </c>
      <c r="E71" s="28">
        <f>5.14-1.48-3.436</f>
        <v>0.22399999999999975</v>
      </c>
    </row>
    <row r="72" spans="1:5" ht="34">
      <c r="A72" s="38" t="s">
        <v>957</v>
      </c>
      <c r="B72" s="1" t="s">
        <v>13</v>
      </c>
      <c r="C72" s="11" t="s">
        <v>78</v>
      </c>
      <c r="D72" s="16" t="s">
        <v>484</v>
      </c>
      <c r="E72" s="25">
        <f>1.522-0.03-0.03-0.03</f>
        <v>1.4319999999999999</v>
      </c>
    </row>
    <row r="73" spans="1:5" ht="34">
      <c r="A73" s="38" t="s">
        <v>957</v>
      </c>
      <c r="B73" s="1" t="s">
        <v>13</v>
      </c>
      <c r="C73" s="11" t="s">
        <v>78</v>
      </c>
      <c r="D73" s="16" t="s">
        <v>485</v>
      </c>
      <c r="E73" s="25">
        <f>1.52-0.077-0.039-0.039</f>
        <v>1.3650000000000002</v>
      </c>
    </row>
    <row r="74" spans="1:5" ht="34">
      <c r="A74" s="38" t="s">
        <v>957</v>
      </c>
      <c r="B74" s="6" t="s">
        <v>223</v>
      </c>
      <c r="C74" s="16" t="s">
        <v>41</v>
      </c>
      <c r="D74" s="16" t="s">
        <v>224</v>
      </c>
      <c r="E74" s="26">
        <f>8.03-3.03-0.015-0.063-0.015-0.029-0.214</f>
        <v>4.6640000000000006</v>
      </c>
    </row>
    <row r="75" spans="1:5" ht="34">
      <c r="A75" s="38" t="s">
        <v>957</v>
      </c>
      <c r="B75" s="6" t="s">
        <v>216</v>
      </c>
      <c r="C75" s="16" t="s">
        <v>41</v>
      </c>
      <c r="D75" s="16" t="s">
        <v>69</v>
      </c>
      <c r="E75" s="26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76" spans="1:5" ht="34">
      <c r="A76" s="38" t="s">
        <v>957</v>
      </c>
      <c r="B76" s="6" t="s">
        <v>216</v>
      </c>
      <c r="C76" s="16" t="s">
        <v>41</v>
      </c>
      <c r="D76" s="16" t="s">
        <v>69</v>
      </c>
      <c r="E76" s="26">
        <f>0.871</f>
        <v>0.871</v>
      </c>
    </row>
    <row r="77" spans="1:5" ht="34">
      <c r="A77" s="38" t="s">
        <v>957</v>
      </c>
      <c r="B77" s="1" t="s">
        <v>274</v>
      </c>
      <c r="C77" s="1" t="s">
        <v>41</v>
      </c>
      <c r="D77" s="5" t="s">
        <v>53</v>
      </c>
      <c r="E77" s="30">
        <f>4.62-0.463-0.614-0.013-0.102-0.039-0.482-0.013-0.13-0.051-0.013-0.266-0.013-0.039-0.05-0.013-0.013-0.013-0.05-0.101-0.702-0.026-0.063-0.013-0.508-0.013-0.013</f>
        <v>0.80400000000000094</v>
      </c>
    </row>
    <row r="78" spans="1:5" ht="34">
      <c r="A78" s="38" t="s">
        <v>957</v>
      </c>
      <c r="B78" s="1" t="s">
        <v>274</v>
      </c>
      <c r="C78" s="1" t="s">
        <v>41</v>
      </c>
      <c r="D78" s="5" t="s">
        <v>224</v>
      </c>
      <c r="E78" s="30">
        <f>1.005-0.302-0.015-0.03-0.03-0.13</f>
        <v>0.49799999999999978</v>
      </c>
    </row>
    <row r="79" spans="1:5" ht="34">
      <c r="A79" s="38" t="s">
        <v>957</v>
      </c>
      <c r="B79" s="1" t="s">
        <v>274</v>
      </c>
      <c r="C79" s="1" t="s">
        <v>41</v>
      </c>
      <c r="D79" s="5" t="s">
        <v>25</v>
      </c>
      <c r="E79" s="30">
        <f>24.29-5.02-0.198-0.02-0.019-1.2-0.6-0.099-2.978-0.279-0.694-0.998-1.502-0.04-0.36-1.002-0.139-0.198-0.02-0.18-0.02-0.04-0.52-0.059-0.996-0.4-0.12-0.04-0.04-0.02-0.02-0.04-0.02-0.059</f>
        <v>6.3500000000000041</v>
      </c>
    </row>
    <row r="80" spans="1:5" ht="34">
      <c r="A80" s="38" t="s">
        <v>957</v>
      </c>
      <c r="B80" s="1" t="s">
        <v>274</v>
      </c>
      <c r="C80" s="1" t="s">
        <v>41</v>
      </c>
      <c r="D80" s="5" t="s">
        <v>138</v>
      </c>
      <c r="E80" s="28">
        <f>9.57-3.004-0.316-0.025-0.095-0.169-2.986-0.144-0.048-0.025-0.025-0.025</f>
        <v>2.7080000000000011</v>
      </c>
    </row>
    <row r="81" spans="1:5" ht="34">
      <c r="A81" s="38" t="s">
        <v>957</v>
      </c>
      <c r="B81" s="1" t="s">
        <v>274</v>
      </c>
      <c r="C81" s="1" t="s">
        <v>41</v>
      </c>
      <c r="D81" s="5" t="s">
        <v>138</v>
      </c>
      <c r="E81" s="28">
        <f>11.05-5</f>
        <v>6.0500000000000007</v>
      </c>
    </row>
    <row r="82" spans="1:5" ht="34">
      <c r="A82" s="38" t="s">
        <v>957</v>
      </c>
      <c r="B82" s="1" t="s">
        <v>274</v>
      </c>
      <c r="C82" s="1" t="s">
        <v>41</v>
      </c>
      <c r="D82" s="5" t="s">
        <v>267</v>
      </c>
      <c r="E82" s="28">
        <f>9.49-0.91-0.03-0.148-0.176</f>
        <v>8.2260000000000009</v>
      </c>
    </row>
    <row r="83" spans="1:5" ht="34">
      <c r="A83" s="38" t="s">
        <v>957</v>
      </c>
      <c r="B83" s="1" t="s">
        <v>274</v>
      </c>
      <c r="C83" s="1" t="s">
        <v>41</v>
      </c>
      <c r="D83" s="5" t="s">
        <v>69</v>
      </c>
      <c r="E83" s="28">
        <f>9.57-0.112-0.37-0.073-0.512-0.703</f>
        <v>7.8</v>
      </c>
    </row>
    <row r="84" spans="1:5" ht="34">
      <c r="A84" s="38" t="s">
        <v>957</v>
      </c>
      <c r="B84" s="1" t="s">
        <v>274</v>
      </c>
      <c r="C84" s="1" t="s">
        <v>41</v>
      </c>
      <c r="D84" s="5" t="s">
        <v>275</v>
      </c>
      <c r="E84" s="30">
        <f>12.37-8.71-0.197-0.198-0.158-0.314-0.394-0.796-0.514-0.08-0.118-0.197-0.04-0.394-0.118-0.04</f>
        <v>0.10199999999999812</v>
      </c>
    </row>
    <row r="85" spans="1:5" ht="34">
      <c r="A85" s="38" t="s">
        <v>957</v>
      </c>
      <c r="B85" s="1" t="s">
        <v>274</v>
      </c>
      <c r="C85" s="1" t="s">
        <v>41</v>
      </c>
      <c r="D85" s="5" t="s">
        <v>275</v>
      </c>
      <c r="E85" s="30">
        <f>13.35</f>
        <v>13.35</v>
      </c>
    </row>
    <row r="86" spans="1:5" ht="34">
      <c r="A86" s="38" t="s">
        <v>957</v>
      </c>
      <c r="B86" s="1" t="s">
        <v>274</v>
      </c>
      <c r="C86" s="1" t="s">
        <v>41</v>
      </c>
      <c r="D86" s="5" t="s">
        <v>288</v>
      </c>
      <c r="E86" s="28">
        <f>9.61-3.226-1.172-0.497-0.6-0.49-0.049-0.146-0.59-0.244-0.978-0.683</f>
        <v>0.93500000000000005</v>
      </c>
    </row>
    <row r="87" spans="1:5" ht="34">
      <c r="A87" s="38" t="s">
        <v>957</v>
      </c>
      <c r="B87" s="1" t="s">
        <v>274</v>
      </c>
      <c r="C87" s="1" t="s">
        <v>41</v>
      </c>
      <c r="D87" s="5" t="s">
        <v>288</v>
      </c>
      <c r="E87" s="28">
        <f>9.75-0.588-0.1-0.196-0.65-0.049-0.148-0.098-0.148-0.49-0.5-0.049</f>
        <v>6.7340000000000018</v>
      </c>
    </row>
    <row r="88" spans="1:5" ht="34">
      <c r="A88" s="38" t="s">
        <v>957</v>
      </c>
      <c r="B88" s="1" t="s">
        <v>274</v>
      </c>
      <c r="C88" s="1" t="s">
        <v>41</v>
      </c>
      <c r="D88" s="5" t="s">
        <v>347</v>
      </c>
      <c r="E88" s="28">
        <f>11.08-5</f>
        <v>6.08</v>
      </c>
    </row>
    <row r="89" spans="1:5" ht="34">
      <c r="A89" s="38" t="s">
        <v>957</v>
      </c>
      <c r="B89" s="1" t="s">
        <v>20</v>
      </c>
      <c r="C89" s="1" t="s">
        <v>41</v>
      </c>
      <c r="D89" s="5" t="s">
        <v>53</v>
      </c>
      <c r="E89" s="30">
        <f>1.206-0.013-0.026-0.013-0.013-0.062-0.123-0.037-0.026-0.026-0.013-0.013-0.012-0.026-0.013</f>
        <v>0.79</v>
      </c>
    </row>
    <row r="90" spans="1:5" ht="34">
      <c r="A90" s="38" t="s">
        <v>957</v>
      </c>
      <c r="B90" s="1" t="s">
        <v>20</v>
      </c>
      <c r="C90" s="1" t="s">
        <v>41</v>
      </c>
      <c r="D90" s="5" t="s">
        <v>53</v>
      </c>
      <c r="E90" s="28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-0.052</f>
        <v>2.6200000000000068</v>
      </c>
    </row>
    <row r="91" spans="1:5" ht="34">
      <c r="A91" s="38" t="s">
        <v>957</v>
      </c>
      <c r="B91" s="1" t="s">
        <v>20</v>
      </c>
      <c r="C91" s="1" t="s">
        <v>41</v>
      </c>
      <c r="D91" s="5" t="s">
        <v>224</v>
      </c>
      <c r="E91" s="30">
        <f>9.02-0.015-0.03-0.058-0.508-0.104-0.104-0.306-0.073</f>
        <v>7.8220000000000001</v>
      </c>
    </row>
    <row r="92" spans="1:5" ht="34">
      <c r="A92" s="38" t="s">
        <v>957</v>
      </c>
      <c r="B92" s="1" t="s">
        <v>20</v>
      </c>
      <c r="C92" s="1" t="s">
        <v>41</v>
      </c>
      <c r="D92" s="5" t="s">
        <v>91</v>
      </c>
      <c r="E92" s="30">
        <f>9.52-4.98-0.995-0.104-2-0.072-0.018-0.508-0.296</f>
        <v>0.54699999999999882</v>
      </c>
    </row>
    <row r="93" spans="1:5" ht="34">
      <c r="A93" s="38" t="s">
        <v>957</v>
      </c>
      <c r="B93" s="1" t="s">
        <v>20</v>
      </c>
      <c r="C93" s="1" t="s">
        <v>41</v>
      </c>
      <c r="D93" s="5" t="s">
        <v>25</v>
      </c>
      <c r="E93" s="30">
        <f>9.02-0.236-0.02-0.511-0.51-0.02-0.136-0.1-0.058-0.06-0.02-0.078-0.51-0.04-0.255-0.039-0.078-0.234-0.04-0.508-0.02-0.196-0.02-0.198-0.019-0.502-0.058-0.098-0.02-0.059-0.058-0.078-0.5-0.04-0.504-0.193-0.42</f>
        <v>2.5840000000000032</v>
      </c>
    </row>
    <row r="94" spans="1:5" ht="34">
      <c r="A94" s="38" t="s">
        <v>957</v>
      </c>
      <c r="B94" s="1" t="s">
        <v>20</v>
      </c>
      <c r="C94" s="12" t="s">
        <v>41</v>
      </c>
      <c r="D94" s="5" t="s">
        <v>48</v>
      </c>
      <c r="E94" s="28">
        <f>1.191-0.097-0.05-0.05-0.51-0.025-0.025-0.05-0.098-0.05-0.075-0.075-0.025-0.025-0.025+(0.013)</f>
        <v>2.3999999999999917E-2</v>
      </c>
    </row>
    <row r="95" spans="1:5" ht="34">
      <c r="A95" s="38" t="s">
        <v>957</v>
      </c>
      <c r="B95" s="1" t="s">
        <v>20</v>
      </c>
      <c r="C95" s="12" t="s">
        <v>41</v>
      </c>
      <c r="D95" s="5" t="s">
        <v>48</v>
      </c>
      <c r="E95" s="28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96" spans="1:5" ht="34">
      <c r="A96" s="38" t="s">
        <v>957</v>
      </c>
      <c r="B96" s="1" t="s">
        <v>20</v>
      </c>
      <c r="C96" s="12" t="s">
        <v>41</v>
      </c>
      <c r="D96" s="5" t="s">
        <v>48</v>
      </c>
      <c r="E96" s="28">
        <f>23.72-5-5.07-3.77-0.123-0.3-0.025-0.15-0.025-0.025-0.05-0.15-0.075-0.076-0.501-0.15-0.22-0.25-0.025-4.95-1.95-0.05-0.124-0.148-0.025-0.05-0.1</f>
        <v>0.33799999999999564</v>
      </c>
    </row>
    <row r="97" spans="1:5" ht="34">
      <c r="A97" s="38" t="s">
        <v>957</v>
      </c>
      <c r="B97" s="1" t="s">
        <v>20</v>
      </c>
      <c r="C97" s="12" t="s">
        <v>41</v>
      </c>
      <c r="D97" s="5" t="s">
        <v>48</v>
      </c>
      <c r="E97" s="28">
        <f>19.57-9.8-7.006-0.713-0.098-0.05-0.148-0.025-0.098-0.074-0.688</f>
        <v>0.86999999999999922</v>
      </c>
    </row>
    <row r="98" spans="1:5" ht="34">
      <c r="A98" s="38" t="s">
        <v>957</v>
      </c>
      <c r="B98" s="1" t="s">
        <v>20</v>
      </c>
      <c r="C98" s="12" t="s">
        <v>41</v>
      </c>
      <c r="D98" s="5" t="s">
        <v>267</v>
      </c>
      <c r="E98" s="28">
        <f>19.98-0.5-0.09-0.03-0.12-0.18-0.03-0.09-0.03-0.179-0.091-0.06-0.508-0.208-0.776-0.15-0.508-0.03-0.06-0.03-0.956-0.148-0.988-1-12</f>
        <v>1.2180000000000035</v>
      </c>
    </row>
    <row r="99" spans="1:5" ht="34">
      <c r="A99" s="38" t="s">
        <v>957</v>
      </c>
      <c r="B99" s="1" t="s">
        <v>20</v>
      </c>
      <c r="C99" s="12" t="s">
        <v>41</v>
      </c>
      <c r="D99" s="5" t="s">
        <v>69</v>
      </c>
      <c r="E99" s="28">
        <f>19.86-0.692-0.434-0.111-0.988-0.073-7.006-1.9-0.986-0.22-2.702-0.037-0.584-0.693-0.182-2.584-0.218-0.037</f>
        <v>0.41299999999999798</v>
      </c>
    </row>
    <row r="100" spans="1:5" ht="34">
      <c r="A100" s="38" t="s">
        <v>957</v>
      </c>
      <c r="B100" s="1" t="s">
        <v>20</v>
      </c>
      <c r="C100" s="12" t="s">
        <v>41</v>
      </c>
      <c r="D100" s="5" t="s">
        <v>69</v>
      </c>
      <c r="E100" s="28">
        <f>24.23-0.486-2.21-2-1.044-0.52-0.148-0.296-0.786-1-0.037-0.037-13</f>
        <v>2.6659999999999968</v>
      </c>
    </row>
    <row r="101" spans="1:5" ht="34">
      <c r="A101" s="38" t="s">
        <v>957</v>
      </c>
      <c r="B101" s="1" t="s">
        <v>20</v>
      </c>
      <c r="C101" s="12" t="s">
        <v>41</v>
      </c>
      <c r="D101" s="5" t="s">
        <v>275</v>
      </c>
      <c r="E101" s="28">
        <f>8.08-0.04-0.394</f>
        <v>7.6460000000000008</v>
      </c>
    </row>
    <row r="102" spans="1:5" ht="34">
      <c r="A102" s="38" t="s">
        <v>957</v>
      </c>
      <c r="B102" s="1" t="s">
        <v>20</v>
      </c>
      <c r="C102" s="12" t="s">
        <v>41</v>
      </c>
      <c r="D102" s="5" t="s">
        <v>275</v>
      </c>
      <c r="E102" s="28">
        <f>4.84</f>
        <v>4.84</v>
      </c>
    </row>
    <row r="103" spans="1:5" ht="34">
      <c r="A103" s="38" t="s">
        <v>957</v>
      </c>
      <c r="B103" s="1" t="s">
        <v>20</v>
      </c>
      <c r="C103" s="12" t="s">
        <v>41</v>
      </c>
      <c r="D103" s="5" t="s">
        <v>114</v>
      </c>
      <c r="E103" s="28">
        <f>1.594</f>
        <v>1.5940000000000001</v>
      </c>
    </row>
    <row r="104" spans="1:5" ht="34">
      <c r="A104" s="38" t="s">
        <v>957</v>
      </c>
      <c r="B104" s="1" t="s">
        <v>20</v>
      </c>
      <c r="C104" s="12" t="s">
        <v>41</v>
      </c>
      <c r="D104" s="5" t="s">
        <v>114</v>
      </c>
      <c r="E104" s="28">
        <f>23.61-9.55-0.994-0.298-0.198-0.1-0.05-0.1-0.5-0.698-4.69-1.64-0.7-0.15-0.049-0.997-0.05-0.249-0.15-0.249-0.35-0.5</f>
        <v>1.3479999999999981</v>
      </c>
    </row>
    <row r="105" spans="1:5" ht="34">
      <c r="A105" s="38" t="s">
        <v>957</v>
      </c>
      <c r="B105" s="1" t="s">
        <v>20</v>
      </c>
      <c r="C105" s="12" t="s">
        <v>41</v>
      </c>
      <c r="D105" s="5" t="s">
        <v>114</v>
      </c>
      <c r="E105" s="28">
        <f>24-0.648-0.049-0.498-0.5-0.5-0.05-0.6-4.5</f>
        <v>16.654999999999998</v>
      </c>
    </row>
    <row r="106" spans="1:5" ht="34">
      <c r="A106" s="38" t="s">
        <v>957</v>
      </c>
      <c r="B106" s="1" t="s">
        <v>20</v>
      </c>
      <c r="C106" s="12" t="s">
        <v>41</v>
      </c>
      <c r="D106" s="5" t="s">
        <v>18</v>
      </c>
      <c r="E106" s="28">
        <f>4.88-0.496-0.246-0.124-0.062-0.186-0.8-0.31-0.123-0.122-0.611-0.062-0.123-0.123-0.122-0.06-0.062-0.052-0.678-0.25-0.064-0.19</f>
        <v>1.4000000000000346E-2</v>
      </c>
    </row>
    <row r="107" spans="1:5" ht="34">
      <c r="A107" s="38" t="s">
        <v>957</v>
      </c>
      <c r="B107" s="1" t="s">
        <v>20</v>
      </c>
      <c r="C107" s="12" t="s">
        <v>41</v>
      </c>
      <c r="D107" s="5" t="s">
        <v>18</v>
      </c>
      <c r="E107" s="28">
        <f>8.55-3.76-0.185-2.528-0.061-0.248-0.061-0.062-0.062-0.492-0.122-0.425-0.064-0.061-0.31-0.061</f>
        <v>4.8000000000001375E-2</v>
      </c>
    </row>
    <row r="108" spans="1:5" ht="34">
      <c r="A108" s="38" t="s">
        <v>957</v>
      </c>
      <c r="B108" s="1" t="s">
        <v>20</v>
      </c>
      <c r="C108" s="12" t="s">
        <v>41</v>
      </c>
      <c r="D108" s="5" t="s">
        <v>18</v>
      </c>
      <c r="E108" s="28">
        <f>9.28-2.968-0.74-0.31-0.183-0.244-1.174-0.062-0.062-0.124-0.988-0.616-0.122-0.062-0.68-0.37-0.124-0.368-(0.004)</f>
        <v>7.9000000000000181E-2</v>
      </c>
    </row>
    <row r="109" spans="1:5" ht="34">
      <c r="A109" s="38" t="s">
        <v>957</v>
      </c>
      <c r="B109" s="1" t="s">
        <v>20</v>
      </c>
      <c r="C109" s="12" t="s">
        <v>41</v>
      </c>
      <c r="D109" s="5" t="s">
        <v>18</v>
      </c>
      <c r="E109" s="28">
        <f>4.84-0.062-0.244-0.062-0.124-0.062-0.62-0.062-0.616-0.061-1.5</f>
        <v>1.4269999999999996</v>
      </c>
    </row>
    <row r="110" spans="1:5" ht="34">
      <c r="A110" s="38" t="s">
        <v>957</v>
      </c>
      <c r="B110" s="1" t="s">
        <v>20</v>
      </c>
      <c r="C110" s="12" t="s">
        <v>41</v>
      </c>
      <c r="D110" s="5" t="s">
        <v>33</v>
      </c>
      <c r="E110" s="28">
        <f>20.92-4.746-4.22-4.24-0.223-4.38-1.19-0.446-0.37-0.891-0.148</f>
        <v>6.6000000000000864E-2</v>
      </c>
    </row>
    <row r="111" spans="1:5" ht="34">
      <c r="A111" s="38" t="s">
        <v>957</v>
      </c>
      <c r="B111" s="1" t="s">
        <v>20</v>
      </c>
      <c r="C111" s="12" t="s">
        <v>41</v>
      </c>
      <c r="D111" s="5" t="s">
        <v>33</v>
      </c>
      <c r="E111" s="28">
        <f>18.84-9.68</f>
        <v>9.16</v>
      </c>
    </row>
    <row r="112" spans="1:5" ht="34">
      <c r="A112" s="38" t="s">
        <v>957</v>
      </c>
      <c r="B112" s="1" t="s">
        <v>20</v>
      </c>
      <c r="C112" s="12" t="s">
        <v>41</v>
      </c>
      <c r="D112" s="5" t="s">
        <v>33</v>
      </c>
      <c r="E112" s="28">
        <f>22.43-4.11-4.86-0.974-2.098-2.092-1.793-0.974-4.04-0.975</f>
        <v>0.51400000000000079</v>
      </c>
    </row>
    <row r="113" spans="1:5" ht="34">
      <c r="A113" s="38" t="s">
        <v>957</v>
      </c>
      <c r="B113" s="1" t="s">
        <v>20</v>
      </c>
      <c r="C113" s="12" t="s">
        <v>41</v>
      </c>
      <c r="D113" s="5" t="s">
        <v>33</v>
      </c>
      <c r="E113" s="28">
        <f>2.098-0.075</f>
        <v>2.0229999999999997</v>
      </c>
    </row>
    <row r="114" spans="1:5" ht="34">
      <c r="A114" s="38" t="s">
        <v>957</v>
      </c>
      <c r="B114" s="11" t="s">
        <v>24</v>
      </c>
      <c r="C114" s="16" t="s">
        <v>174</v>
      </c>
      <c r="D114" s="16" t="s">
        <v>34</v>
      </c>
      <c r="E114" s="25">
        <f>2.824-0.5-0.101-0.051-0.006-0.3-0.101-0.003</f>
        <v>1.762</v>
      </c>
    </row>
    <row r="115" spans="1:5" ht="34">
      <c r="A115" s="38" t="s">
        <v>957</v>
      </c>
      <c r="B115" s="11" t="s">
        <v>24</v>
      </c>
      <c r="C115" s="11" t="s">
        <v>230</v>
      </c>
      <c r="D115" s="16" t="s">
        <v>559</v>
      </c>
      <c r="E115" s="25">
        <f>0.22-0.159</f>
        <v>6.0999999999999999E-2</v>
      </c>
    </row>
    <row r="116" spans="1:5" ht="34">
      <c r="A116" s="38" t="s">
        <v>957</v>
      </c>
      <c r="B116" s="11" t="s">
        <v>24</v>
      </c>
      <c r="C116" s="11" t="s">
        <v>230</v>
      </c>
      <c r="D116" s="16" t="s">
        <v>739</v>
      </c>
      <c r="E116" s="25">
        <f>1.03</f>
        <v>1.03</v>
      </c>
    </row>
    <row r="117" spans="1:5" ht="34">
      <c r="A117" s="38" t="s">
        <v>957</v>
      </c>
      <c r="B117" s="11" t="s">
        <v>24</v>
      </c>
      <c r="C117" s="2" t="s">
        <v>790</v>
      </c>
      <c r="D117" s="15" t="s">
        <v>602</v>
      </c>
      <c r="E117" s="28">
        <f>1.007-0.5</f>
        <v>0.5069999999999999</v>
      </c>
    </row>
    <row r="118" spans="1:5" ht="34">
      <c r="A118" s="38" t="s">
        <v>957</v>
      </c>
      <c r="B118" s="11" t="s">
        <v>24</v>
      </c>
      <c r="C118" s="11" t="s">
        <v>651</v>
      </c>
      <c r="D118" s="16" t="s">
        <v>98</v>
      </c>
      <c r="E118" s="26">
        <f>4.86-0.016-2.125-0.718-0.016</f>
        <v>1.9850000000000003</v>
      </c>
    </row>
    <row r="119" spans="1:5" ht="34">
      <c r="A119" s="38" t="s">
        <v>957</v>
      </c>
      <c r="B119" s="11" t="s">
        <v>24</v>
      </c>
      <c r="C119" s="11" t="s">
        <v>35</v>
      </c>
      <c r="D119" s="16" t="s">
        <v>44</v>
      </c>
      <c r="E119" s="25">
        <f>3.19-0.266-0.121-0.024-1.636-0.446-0.048-0.024-0.094-0.048-0.29-0.094-0.024</f>
        <v>7.5000000000000067E-2</v>
      </c>
    </row>
    <row r="120" spans="1:5" ht="34">
      <c r="A120" s="38" t="s">
        <v>957</v>
      </c>
      <c r="B120" s="11" t="s">
        <v>24</v>
      </c>
      <c r="C120" s="11" t="s">
        <v>35</v>
      </c>
      <c r="D120" s="16" t="s">
        <v>44</v>
      </c>
      <c r="E120" s="25">
        <f>0.995-0.07-0.024-0.478</f>
        <v>0.42300000000000004</v>
      </c>
    </row>
    <row r="121" spans="1:5" ht="34">
      <c r="A121" s="38" t="s">
        <v>957</v>
      </c>
      <c r="B121" s="11" t="s">
        <v>24</v>
      </c>
      <c r="C121" s="11" t="s">
        <v>35</v>
      </c>
      <c r="D121" s="16" t="s">
        <v>44</v>
      </c>
      <c r="E121" s="25">
        <f>1.27</f>
        <v>1.27</v>
      </c>
    </row>
    <row r="122" spans="1:5" ht="34">
      <c r="A122" s="38" t="s">
        <v>957</v>
      </c>
      <c r="B122" s="11" t="s">
        <v>24</v>
      </c>
      <c r="C122" s="11" t="s">
        <v>35</v>
      </c>
      <c r="D122" s="16" t="s">
        <v>44</v>
      </c>
      <c r="E122" s="25">
        <f>1.81</f>
        <v>1.81</v>
      </c>
    </row>
    <row r="123" spans="1:5" ht="34">
      <c r="A123" s="38" t="s">
        <v>957</v>
      </c>
      <c r="B123" s="11" t="s">
        <v>24</v>
      </c>
      <c r="C123" s="2" t="s">
        <v>790</v>
      </c>
      <c r="D123" s="15" t="s">
        <v>69</v>
      </c>
      <c r="E123" s="28">
        <f>1.03</f>
        <v>1.03</v>
      </c>
    </row>
    <row r="124" spans="1:5" ht="34">
      <c r="A124" s="38" t="s">
        <v>957</v>
      </c>
      <c r="B124" s="11" t="s">
        <v>24</v>
      </c>
      <c r="C124" s="2" t="s">
        <v>790</v>
      </c>
      <c r="D124" s="2" t="s">
        <v>288</v>
      </c>
      <c r="E124" s="28">
        <f>1.03-0.246-0.05-0.29</f>
        <v>0.44400000000000001</v>
      </c>
    </row>
    <row r="125" spans="1:5" ht="34">
      <c r="A125" s="38" t="s">
        <v>957</v>
      </c>
      <c r="B125" s="11" t="s">
        <v>24</v>
      </c>
      <c r="C125" s="11" t="s">
        <v>35</v>
      </c>
      <c r="D125" s="16" t="s">
        <v>8</v>
      </c>
      <c r="E125" s="26">
        <f>5.212-0.19-0.096-0.048-0.24-0.048</f>
        <v>4.589999999999999</v>
      </c>
    </row>
    <row r="126" spans="1:5" ht="34">
      <c r="A126" s="38" t="s">
        <v>957</v>
      </c>
      <c r="B126" s="1" t="s">
        <v>73</v>
      </c>
      <c r="C126" s="2" t="s">
        <v>121</v>
      </c>
      <c r="D126" s="15" t="s">
        <v>93</v>
      </c>
      <c r="E126" s="28">
        <f>21.81-6.57-0.598-0.036-0.464-3.74-3.84-3.542-(0.018)-0.019-0.019-0.094-0.207</f>
        <v>2.662999999999998</v>
      </c>
    </row>
    <row r="127" spans="1:5" ht="34">
      <c r="A127" s="38" t="s">
        <v>957</v>
      </c>
      <c r="B127" s="1" t="s">
        <v>15</v>
      </c>
      <c r="C127" s="2" t="s">
        <v>90</v>
      </c>
      <c r="D127" s="16" t="s">
        <v>51</v>
      </c>
      <c r="E127" s="26">
        <f>2.864-0.506-0.027-0.012-0.5-0.103-0.207-0.006-0.055-0.018-0.06-0.055-0.055-0.06-0.502-0.006-0.006-0.006-0.05-0.024-0.018-0.018-0.251-0.012</f>
        <v>0.30699999999999938</v>
      </c>
    </row>
    <row r="128" spans="1:5" ht="34">
      <c r="A128" s="38" t="s">
        <v>957</v>
      </c>
      <c r="B128" s="1" t="s">
        <v>15</v>
      </c>
      <c r="C128" s="2" t="s">
        <v>90</v>
      </c>
      <c r="D128" s="16" t="s">
        <v>84</v>
      </c>
      <c r="E128" s="25">
        <f>8.128-0.299-0.049-0.014-0.007-0.028-0.11-0.007-0.062-0.103-0.007-0.021-0.014-0.083-0.007-0.062-0.007-0.106-0.102-0.055-0.35-0.007-0.021-0.028-0.602-0.147-0.014-0.007-0.028-0.007-0.014-0.158-0.021-0.096-0.213-0.007-0.108-0.055-0.007-0.103-0.028-0.007</f>
        <v>4.9570000000000034</v>
      </c>
    </row>
    <row r="129" spans="1:5" ht="34">
      <c r="A129" s="38" t="s">
        <v>957</v>
      </c>
      <c r="B129" s="1" t="s">
        <v>15</v>
      </c>
      <c r="C129" s="2" t="s">
        <v>90</v>
      </c>
      <c r="D129" s="16" t="s">
        <v>45</v>
      </c>
      <c r="E129" s="25">
        <f>8.678-0.304-0.009-1-0.206-0.009-0.018-0.009-0.036-0.074</f>
        <v>7.0129999999999999</v>
      </c>
    </row>
    <row r="130" spans="1:5" ht="34">
      <c r="A130" s="38" t="s">
        <v>957</v>
      </c>
      <c r="B130" s="1" t="s">
        <v>15</v>
      </c>
      <c r="C130" s="2" t="s">
        <v>90</v>
      </c>
      <c r="D130" s="15" t="s">
        <v>85</v>
      </c>
      <c r="E130" s="28">
        <f>7.856-0.03-1.102-0.03-0.03-0.015-0.069-0.03-0.03-0.015-0.056-0.045-0.055-0.154-0.069-0.604-0.315-0.056-0.042-0.11-0.055-0.096-0.056-0.015-0.014-0.014-0.11-0.014-0.054-0.042</f>
        <v>4.5289999999999981</v>
      </c>
    </row>
    <row r="131" spans="1:5" ht="34">
      <c r="A131" s="38" t="s">
        <v>957</v>
      </c>
      <c r="B131" s="1" t="s">
        <v>15</v>
      </c>
      <c r="C131" s="2" t="s">
        <v>90</v>
      </c>
      <c r="D131" s="15" t="s">
        <v>374</v>
      </c>
      <c r="E131" s="28">
        <f>4.49-0.022-0.022-1.014-0.998-0.044-1.02-1.206-0.062</f>
        <v>0.10199999999999926</v>
      </c>
    </row>
    <row r="132" spans="1:5" ht="34">
      <c r="A132" s="38" t="s">
        <v>957</v>
      </c>
      <c r="B132" s="1" t="s">
        <v>70</v>
      </c>
      <c r="C132" s="2" t="s">
        <v>86</v>
      </c>
      <c r="D132" s="16" t="s">
        <v>245</v>
      </c>
      <c r="E132" s="26">
        <f>1.3-0.101</f>
        <v>1.1990000000000001</v>
      </c>
    </row>
    <row r="133" spans="1:5" ht="34">
      <c r="A133" s="38" t="s">
        <v>957</v>
      </c>
      <c r="B133" s="1" t="s">
        <v>70</v>
      </c>
      <c r="C133" s="2" t="s">
        <v>86</v>
      </c>
      <c r="D133" s="16" t="s">
        <v>246</v>
      </c>
      <c r="E133" s="26">
        <f>1.36-0.574-0.572</f>
        <v>0.21400000000000019</v>
      </c>
    </row>
    <row r="134" spans="1:5" ht="34">
      <c r="A134" s="38" t="s">
        <v>957</v>
      </c>
      <c r="B134" s="1" t="s">
        <v>70</v>
      </c>
      <c r="C134" s="2" t="s">
        <v>86</v>
      </c>
      <c r="D134" s="16" t="s">
        <v>244</v>
      </c>
      <c r="E134" s="26">
        <f>2.86-1.49-0.387-0.296-0.444</f>
        <v>0.24299999999999983</v>
      </c>
    </row>
    <row r="135" spans="1:5" ht="34">
      <c r="A135" s="38" t="s">
        <v>958</v>
      </c>
      <c r="B135" s="2" t="s">
        <v>4</v>
      </c>
      <c r="C135" s="12" t="s">
        <v>198</v>
      </c>
      <c r="D135" s="5" t="s">
        <v>82</v>
      </c>
      <c r="E135" s="29">
        <f>0.029</f>
        <v>2.9000000000000001E-2</v>
      </c>
    </row>
    <row r="136" spans="1:5" ht="34">
      <c r="A136" s="38" t="s">
        <v>958</v>
      </c>
      <c r="B136" s="12" t="s">
        <v>4</v>
      </c>
      <c r="C136" s="12" t="s">
        <v>150</v>
      </c>
      <c r="D136" s="14" t="s">
        <v>5</v>
      </c>
      <c r="E136" s="27">
        <f>4.03-0.082-0.204-0.042-0.04-0.04-0.04-0.078-0.038-0.038-0.12-0.038-0.198-0.04</f>
        <v>3.0320000000000009</v>
      </c>
    </row>
    <row r="137" spans="1:5" ht="34">
      <c r="A137" s="38" t="s">
        <v>958</v>
      </c>
      <c r="B137" s="12" t="s">
        <v>4</v>
      </c>
      <c r="C137" s="12" t="s">
        <v>150</v>
      </c>
      <c r="D137" s="12" t="s">
        <v>8</v>
      </c>
      <c r="E137" s="27">
        <f>14.935-0.05-0.297-0.048-0.05-0.097-0.342-0.631-0.047-0.632-0.048-1.003-0.048-0.523-0.048-0.141-0.192-0.737-2.025-0.048-0.096-0.047-0.291-0.146-0.44-0.146-0.198-0.199-0.05-0.049-0.048-0.147-0.096-0.148-0.05-0.098-0.048-0.102-0.1-1</f>
        <v>4.4289999999999967</v>
      </c>
    </row>
    <row r="138" spans="1:5" ht="34">
      <c r="A138" s="38" t="s">
        <v>958</v>
      </c>
      <c r="B138" s="12" t="s">
        <v>4</v>
      </c>
      <c r="C138" s="12" t="s">
        <v>403</v>
      </c>
      <c r="D138" s="12" t="s">
        <v>201</v>
      </c>
      <c r="E138" s="27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28.385-0.465-0.057-0.52-0.345-0.057-0.29-3.01-0.978-1.027-0.515-0.058-0.058-0.172-0.342-0.635-0.058-1.824-0.46-0.23-0.058-0.685-0.571-0.058-0.573-0.628-0.635-0.577-0.058-0.173-0.174-3.008-0.058-0.114-0.058-0.057-0.172-2.992-0.058-0.056-0.058-0.168-0.114-0.116-1.146-0.342-3</f>
        <v>1.5770000000000017</v>
      </c>
    </row>
    <row r="139" spans="1:5" ht="34">
      <c r="A139" s="38" t="s">
        <v>958</v>
      </c>
      <c r="B139" s="2" t="s">
        <v>4</v>
      </c>
      <c r="C139" s="12" t="s">
        <v>150</v>
      </c>
      <c r="D139" s="5" t="s">
        <v>43</v>
      </c>
      <c r="E139" s="27">
        <f>10.035-0.116-0.172-0.173-0.395-0.109-0.113-0.056-0.112-0.056-0.11-0.112-0.112-0.056</f>
        <v>8.3430000000000035</v>
      </c>
    </row>
    <row r="140" spans="1:5" ht="34">
      <c r="A140" s="38" t="s">
        <v>958</v>
      </c>
      <c r="B140" s="2" t="s">
        <v>4</v>
      </c>
      <c r="C140" s="1" t="s">
        <v>727</v>
      </c>
      <c r="D140" s="5" t="s">
        <v>282</v>
      </c>
      <c r="E140" s="28">
        <f>20.65-0.198-0.094-0.38-0.094-0.19-0.76-0.19-0.19-15</f>
        <v>3.5539999999999914</v>
      </c>
    </row>
    <row r="141" spans="1:5" ht="34">
      <c r="A141" s="38" t="s">
        <v>958</v>
      </c>
      <c r="B141" s="2" t="s">
        <v>4</v>
      </c>
      <c r="C141" s="1" t="s">
        <v>87</v>
      </c>
      <c r="D141" s="5" t="s">
        <v>320</v>
      </c>
      <c r="E141" s="28">
        <f>5.138-0.286-0.57-0.284-0.286</f>
        <v>3.7120000000000002</v>
      </c>
    </row>
    <row r="142" spans="1:5" ht="34">
      <c r="A142" s="38" t="s">
        <v>958</v>
      </c>
      <c r="B142" s="2" t="s">
        <v>4</v>
      </c>
      <c r="C142" s="1" t="s">
        <v>87</v>
      </c>
      <c r="D142" s="5" t="s">
        <v>878</v>
      </c>
      <c r="E142" s="28">
        <f>0.286-0.048-0.012-0.048-0.143-0.012-(0.001)</f>
        <v>2.2000000000000002E-2</v>
      </c>
    </row>
    <row r="143" spans="1:5" ht="34">
      <c r="A143" s="38" t="s">
        <v>958</v>
      </c>
      <c r="B143" s="2" t="s">
        <v>4</v>
      </c>
      <c r="C143" s="1" t="s">
        <v>415</v>
      </c>
      <c r="D143" s="5" t="s">
        <v>320</v>
      </c>
      <c r="E143" s="28">
        <f>15.62-3.98-0.284-5</f>
        <v>6.3559999999999981</v>
      </c>
    </row>
    <row r="144" spans="1:5" ht="34">
      <c r="A144" s="38" t="s">
        <v>958</v>
      </c>
      <c r="B144" s="12" t="s">
        <v>4</v>
      </c>
      <c r="C144" s="12" t="s">
        <v>415</v>
      </c>
      <c r="D144" s="12" t="s">
        <v>61</v>
      </c>
      <c r="E144" s="27">
        <f>15.65-0.348-0.354-0.35-1.066-0.708-0.357-10</f>
        <v>2.4670000000000005</v>
      </c>
    </row>
    <row r="145" spans="1:5" ht="34">
      <c r="A145" s="38" t="s">
        <v>958</v>
      </c>
      <c r="B145" s="12" t="s">
        <v>4</v>
      </c>
      <c r="C145" s="12" t="s">
        <v>415</v>
      </c>
      <c r="D145" s="12" t="s">
        <v>847</v>
      </c>
      <c r="E145" s="27">
        <f>0.354-0.06-0.015-0.176-(0.001)-0.018</f>
        <v>8.3999999999999977E-2</v>
      </c>
    </row>
    <row r="146" spans="1:5" ht="34">
      <c r="A146" s="38" t="s">
        <v>958</v>
      </c>
      <c r="B146" s="12" t="s">
        <v>4</v>
      </c>
      <c r="C146" s="12" t="s">
        <v>415</v>
      </c>
      <c r="D146" s="12" t="s">
        <v>838</v>
      </c>
      <c r="E146" s="27">
        <f>0.357-0.179</f>
        <v>0.17799999999999999</v>
      </c>
    </row>
    <row r="147" spans="1:5" ht="34">
      <c r="A147" s="38" t="s">
        <v>958</v>
      </c>
      <c r="B147" s="1" t="s">
        <v>4</v>
      </c>
      <c r="C147" s="1" t="s">
        <v>87</v>
      </c>
      <c r="D147" s="8" t="s">
        <v>66</v>
      </c>
      <c r="E147" s="28">
        <f>4.98-0.392-0.098-0.388-0.098-0.196-0.196-0.196-0.098-0.297-0.1-0.196-0.098-0.288-0.188-0.094-0.097-0.098-0.098-0.098-0.098-0.096-0.097-0.49-0.482-0.098-0.096-0.2</f>
        <v>8.9999999999995917E-3</v>
      </c>
    </row>
    <row r="148" spans="1:5" ht="34">
      <c r="A148" s="38" t="s">
        <v>958</v>
      </c>
      <c r="B148" s="12" t="s">
        <v>4</v>
      </c>
      <c r="C148" s="12" t="s">
        <v>404</v>
      </c>
      <c r="D148" s="12" t="s">
        <v>257</v>
      </c>
      <c r="E148" s="27">
        <f>20.21-0.155-1.021-0.576-3.048-0.146-0.881-0.147-0.583-0.147-2.037-2.038-0.146-0.291-1.159-3.039-0.287-0.148-0.146-0.875-0.146-0.145-0.289-0.144-0.722-0.142-0.144-0.144-0.144-0.144-0.144-0.29-0.144-0.148</f>
        <v>0.44999999999999662</v>
      </c>
    </row>
    <row r="149" spans="1:5" ht="34">
      <c r="A149" s="38" t="s">
        <v>958</v>
      </c>
      <c r="B149" s="12" t="s">
        <v>4</v>
      </c>
      <c r="C149" s="12" t="s">
        <v>415</v>
      </c>
      <c r="D149" s="12" t="s">
        <v>49</v>
      </c>
      <c r="E149" s="27">
        <f>4.275-2.545-0.426-0.426</f>
        <v>0.87800000000000056</v>
      </c>
    </row>
    <row r="150" spans="1:5" ht="34">
      <c r="A150" s="38" t="s">
        <v>958</v>
      </c>
      <c r="B150" s="12" t="s">
        <v>4</v>
      </c>
      <c r="C150" s="12" t="s">
        <v>415</v>
      </c>
      <c r="D150" s="12" t="s">
        <v>825</v>
      </c>
      <c r="E150" s="27">
        <f>0.426-0.036-0.214+(0.001)</f>
        <v>0.17700000000000002</v>
      </c>
    </row>
    <row r="151" spans="1:5" ht="34">
      <c r="A151" s="38" t="s">
        <v>958</v>
      </c>
      <c r="B151" s="12" t="s">
        <v>4</v>
      </c>
      <c r="C151" s="12" t="s">
        <v>415</v>
      </c>
      <c r="D151" s="12" t="s">
        <v>49</v>
      </c>
      <c r="E151" s="27">
        <f>3.845</f>
        <v>3.8450000000000002</v>
      </c>
    </row>
    <row r="152" spans="1:5" ht="34">
      <c r="A152" s="38" t="s">
        <v>958</v>
      </c>
      <c r="B152" s="2" t="s">
        <v>4</v>
      </c>
      <c r="C152" s="1" t="s">
        <v>727</v>
      </c>
      <c r="D152" s="5" t="s">
        <v>413</v>
      </c>
      <c r="E152" s="28">
        <f>18.9-4.78-2.03-0.17-0.168-10</f>
        <v>1.7519999999999989</v>
      </c>
    </row>
    <row r="153" spans="1:5" ht="34">
      <c r="A153" s="38" t="s">
        <v>958</v>
      </c>
      <c r="B153" s="1" t="s">
        <v>4</v>
      </c>
      <c r="C153" s="1" t="s">
        <v>87</v>
      </c>
      <c r="D153" s="8" t="s">
        <v>116</v>
      </c>
      <c r="E153" s="28">
        <f>23.42-1.149-0.764-0.192-0.191-0.57-0.573-0.383-1.911-2.104-0.192-0.765-0.193-0.769-0.382-0.195-0.191-0.194-1.147-0.38-0.193-0.194-0.965-0.193-0.577-1.916-0.57-0.573-0.576-2.89-0.192-0.194-0.385-0.385-0.192-0.19-0.38</f>
        <v>0.60999999999999821</v>
      </c>
    </row>
    <row r="154" spans="1:5" ht="34">
      <c r="A154" s="38" t="s">
        <v>958</v>
      </c>
      <c r="B154" s="1" t="s">
        <v>4</v>
      </c>
      <c r="C154" s="1" t="s">
        <v>646</v>
      </c>
      <c r="D154" s="8" t="s">
        <v>22</v>
      </c>
      <c r="E154" s="28">
        <f>15.39-0.562-0.564-5.133-0.57-0.57-5</f>
        <v>2.9909999999999997</v>
      </c>
    </row>
    <row r="155" spans="1:5" ht="34">
      <c r="A155" s="38" t="s">
        <v>958</v>
      </c>
      <c r="B155" s="1" t="s">
        <v>4</v>
      </c>
      <c r="C155" s="1" t="s">
        <v>646</v>
      </c>
      <c r="D155" s="8" t="s">
        <v>861</v>
      </c>
      <c r="E155" s="28">
        <f>0.57-0.058-0.283-0.049-(0.001)-0.025-(0.001)</f>
        <v>0.15299999999999994</v>
      </c>
    </row>
    <row r="156" spans="1:5" ht="34">
      <c r="A156" s="38" t="s">
        <v>958</v>
      </c>
      <c r="B156" s="1" t="s">
        <v>4</v>
      </c>
      <c r="C156" s="1" t="s">
        <v>87</v>
      </c>
      <c r="D156" s="8" t="s">
        <v>115</v>
      </c>
      <c r="E156" s="28">
        <f>19.57-0.242-3.618-0.242-0.24-3.132-0.96-0.24-0.242-0.722-0.24-0.242-0.24-7.222</f>
        <v>1.9879999999999987</v>
      </c>
    </row>
    <row r="157" spans="1:5" ht="34">
      <c r="A157" s="38" t="s">
        <v>958</v>
      </c>
      <c r="B157" s="1" t="s">
        <v>4</v>
      </c>
      <c r="C157" s="1" t="s">
        <v>415</v>
      </c>
      <c r="D157" s="8" t="s">
        <v>47</v>
      </c>
      <c r="E157" s="28">
        <f>4.24-0.846</f>
        <v>3.3940000000000001</v>
      </c>
    </row>
    <row r="158" spans="1:5" ht="34">
      <c r="A158" s="38" t="s">
        <v>958</v>
      </c>
      <c r="B158" s="1" t="s">
        <v>4</v>
      </c>
      <c r="C158" s="1" t="s">
        <v>415</v>
      </c>
      <c r="D158" s="8" t="s">
        <v>826</v>
      </c>
      <c r="E158" s="28">
        <f>0.846-0.038-0.297+(0.001)</f>
        <v>0.5119999999999999</v>
      </c>
    </row>
    <row r="159" spans="1:5" ht="34">
      <c r="A159" s="38" t="s">
        <v>958</v>
      </c>
      <c r="B159" s="1" t="s">
        <v>4</v>
      </c>
      <c r="C159" s="1" t="s">
        <v>415</v>
      </c>
      <c r="D159" s="8" t="s">
        <v>47</v>
      </c>
      <c r="E159" s="28">
        <f>8.47</f>
        <v>8.4700000000000006</v>
      </c>
    </row>
    <row r="160" spans="1:5" ht="34">
      <c r="A160" s="38" t="s">
        <v>958</v>
      </c>
      <c r="B160" s="1" t="s">
        <v>4</v>
      </c>
      <c r="C160" s="1" t="s">
        <v>415</v>
      </c>
      <c r="D160" s="8" t="s">
        <v>47</v>
      </c>
      <c r="E160" s="28">
        <f>4.235</f>
        <v>4.2350000000000003</v>
      </c>
    </row>
    <row r="161" spans="1:5" ht="34">
      <c r="A161" s="38" t="s">
        <v>958</v>
      </c>
      <c r="B161" s="1" t="s">
        <v>4</v>
      </c>
      <c r="C161" s="1" t="s">
        <v>87</v>
      </c>
      <c r="D161" s="8" t="s">
        <v>644</v>
      </c>
      <c r="E161" s="28">
        <f>1.124-0.558-0.19-0.048-(0.002)-0.19-0.05</f>
        <v>8.6000000000000063E-2</v>
      </c>
    </row>
    <row r="162" spans="1:5" ht="34">
      <c r="A162" s="38" t="s">
        <v>958</v>
      </c>
      <c r="B162" s="1" t="s">
        <v>4</v>
      </c>
      <c r="C162" s="1" t="s">
        <v>415</v>
      </c>
      <c r="D162" s="8" t="s">
        <v>30</v>
      </c>
      <c r="E162" s="28">
        <f>3.59-1.166</f>
        <v>2.4239999999999999</v>
      </c>
    </row>
    <row r="163" spans="1:5" ht="34">
      <c r="A163" s="38" t="s">
        <v>958</v>
      </c>
      <c r="B163" s="1" t="s">
        <v>4</v>
      </c>
      <c r="C163" s="1" t="s">
        <v>415</v>
      </c>
      <c r="D163" s="8" t="s">
        <v>901</v>
      </c>
      <c r="E163" s="28">
        <f>1.166-0.06-0.062-0.036-(0.002)-0.39-(0.002)-0.38</f>
        <v>0.23399999999999976</v>
      </c>
    </row>
    <row r="164" spans="1:5" ht="34">
      <c r="A164" s="38" t="s">
        <v>958</v>
      </c>
      <c r="B164" s="1" t="s">
        <v>4</v>
      </c>
      <c r="C164" s="1" t="s">
        <v>87</v>
      </c>
      <c r="D164" s="8" t="s">
        <v>819</v>
      </c>
      <c r="E164" s="28">
        <f>1.41-0.072-0.238-0.708-0.024-0.142-0.024-(0.002)-0.038</f>
        <v>0.16199999999999989</v>
      </c>
    </row>
    <row r="165" spans="1:5" ht="34">
      <c r="A165" s="38" t="s">
        <v>958</v>
      </c>
      <c r="B165" s="1" t="s">
        <v>4</v>
      </c>
      <c r="C165" s="1" t="s">
        <v>415</v>
      </c>
      <c r="D165" s="8" t="s">
        <v>37</v>
      </c>
      <c r="E165" s="28">
        <f>2.856</f>
        <v>2.8559999999999999</v>
      </c>
    </row>
    <row r="166" spans="1:5" ht="34">
      <c r="A166" s="38" t="s">
        <v>958</v>
      </c>
      <c r="B166" s="1" t="s">
        <v>4</v>
      </c>
      <c r="C166" s="1" t="s">
        <v>87</v>
      </c>
      <c r="D166" s="8" t="s">
        <v>765</v>
      </c>
      <c r="E166" s="28">
        <f>1.785-0.052-(0.023)-0.096-(0.004)-0.178-0.148-(0.004)</f>
        <v>1.28</v>
      </c>
    </row>
    <row r="167" spans="1:5" ht="34">
      <c r="A167" s="38" t="s">
        <v>958</v>
      </c>
      <c r="B167" s="1" t="s">
        <v>4</v>
      </c>
      <c r="C167" s="1" t="s">
        <v>415</v>
      </c>
      <c r="D167" s="8" t="s">
        <v>653</v>
      </c>
      <c r="E167" s="28">
        <f>4.48-2.262-0.47+(0.044)</f>
        <v>1.7920000000000005</v>
      </c>
    </row>
    <row r="168" spans="1:5" ht="34">
      <c r="A168" s="38" t="s">
        <v>958</v>
      </c>
      <c r="B168" s="1" t="s">
        <v>4</v>
      </c>
      <c r="C168" s="1" t="s">
        <v>415</v>
      </c>
      <c r="D168" s="8" t="s">
        <v>613</v>
      </c>
      <c r="E168" s="28">
        <f>2.262-0.23-0.568-0.568-(0.002)-0.564-(0.008)</f>
        <v>0.32200000000000006</v>
      </c>
    </row>
    <row r="169" spans="1:5" ht="34">
      <c r="A169" s="38" t="s">
        <v>958</v>
      </c>
      <c r="B169" s="1" t="s">
        <v>19</v>
      </c>
      <c r="C169" s="16" t="s">
        <v>180</v>
      </c>
      <c r="D169" s="8" t="s">
        <v>7</v>
      </c>
      <c r="E169" s="28">
        <f>3.962-0.658-0.248-0.032-0.032-0.031-0.03-1.278-0.156-0.156-0.032-0.03-0.062-0.186-0.606-0.158-0.25</f>
        <v>1.7000000000000126E-2</v>
      </c>
    </row>
    <row r="170" spans="1:5" ht="34">
      <c r="A170" s="38" t="s">
        <v>958</v>
      </c>
      <c r="B170" s="1" t="s">
        <v>19</v>
      </c>
      <c r="C170" s="16" t="s">
        <v>180</v>
      </c>
      <c r="D170" s="8" t="s">
        <v>7</v>
      </c>
      <c r="E170" s="28">
        <f>3.926-0.637-0.096-0.515-0.191-0.032-0.032-1.261-0.031-0.032-0.031-0.77-0.127-0.031-0.062-0.032-0.029</f>
        <v>1.7000000000000261E-2</v>
      </c>
    </row>
    <row r="171" spans="1:5" ht="34">
      <c r="A171" s="38" t="s">
        <v>958</v>
      </c>
      <c r="B171" s="1" t="s">
        <v>19</v>
      </c>
      <c r="C171" s="16" t="s">
        <v>180</v>
      </c>
      <c r="D171" s="8" t="s">
        <v>7</v>
      </c>
      <c r="E171" s="28">
        <f>1.97-0.555-0.512-0.277-0.061-0.155-0.032-0.19-0.032-0.064-0.032</f>
        <v>5.9999999999999887E-2</v>
      </c>
    </row>
    <row r="172" spans="1:5" ht="34">
      <c r="A172" s="38" t="s">
        <v>958</v>
      </c>
      <c r="B172" s="1" t="s">
        <v>19</v>
      </c>
      <c r="C172" s="16" t="s">
        <v>180</v>
      </c>
      <c r="D172" s="8" t="s">
        <v>8</v>
      </c>
      <c r="E172" s="28">
        <f>3.262-0.137-0.046-0.137-0.509-0.089-0.046-0.139-0.133-0.323-0.092-0.277-0.28-0.14-0.235-0.046-0.093-0.093-0.231-0.046-0.093-0.046</f>
        <v>3.1000000000000486E-2</v>
      </c>
    </row>
    <row r="173" spans="1:5" ht="34">
      <c r="A173" s="38" t="s">
        <v>958</v>
      </c>
      <c r="B173" s="1" t="s">
        <v>19</v>
      </c>
      <c r="C173" s="16" t="s">
        <v>180</v>
      </c>
      <c r="D173" s="8" t="s">
        <v>8</v>
      </c>
      <c r="E173" s="28">
        <f>0.93-0.187-0.048-0.048-0.048-0.046-0.466-0.048</f>
        <v>3.899999999999991E-2</v>
      </c>
    </row>
    <row r="174" spans="1:5" ht="34">
      <c r="A174" s="38" t="s">
        <v>958</v>
      </c>
      <c r="B174" s="1" t="s">
        <v>19</v>
      </c>
      <c r="C174" s="16" t="s">
        <v>180</v>
      </c>
      <c r="D174" s="8" t="s">
        <v>8</v>
      </c>
      <c r="E174" s="28">
        <f>3.02-0.046-0.093-0.045-0.048-0.091-0.046-0.048</f>
        <v>2.6030000000000002</v>
      </c>
    </row>
    <row r="175" spans="1:5" ht="34">
      <c r="A175" s="38" t="s">
        <v>958</v>
      </c>
      <c r="B175" s="12" t="s">
        <v>19</v>
      </c>
      <c r="C175" s="11" t="s">
        <v>180</v>
      </c>
      <c r="D175" s="14" t="s">
        <v>9</v>
      </c>
      <c r="E175" s="28">
        <f>3.97-0.124-0.126-0.508-1-0.51</f>
        <v>1.7020000000000002</v>
      </c>
    </row>
    <row r="176" spans="1:5" ht="34">
      <c r="A176" s="38" t="s">
        <v>958</v>
      </c>
      <c r="B176" s="12" t="s">
        <v>19</v>
      </c>
      <c r="C176" s="11" t="s">
        <v>685</v>
      </c>
      <c r="D176" s="14" t="s">
        <v>573</v>
      </c>
      <c r="E176" s="28">
        <f>5.012-0.286</f>
        <v>4.726</v>
      </c>
    </row>
    <row r="177" spans="1:5" ht="34">
      <c r="A177" s="38" t="s">
        <v>958</v>
      </c>
      <c r="B177" s="12" t="s">
        <v>19</v>
      </c>
      <c r="C177" s="11" t="s">
        <v>180</v>
      </c>
      <c r="D177" s="14" t="s">
        <v>88</v>
      </c>
      <c r="E177" s="28">
        <f>10.51-0.342-0.342-0.345-0.344-0.686-0.346-5</f>
        <v>3.1049999999999986</v>
      </c>
    </row>
    <row r="178" spans="1:5" ht="34">
      <c r="A178" s="38" t="s">
        <v>958</v>
      </c>
      <c r="B178" s="12" t="s">
        <v>19</v>
      </c>
      <c r="C178" s="11" t="s">
        <v>180</v>
      </c>
      <c r="D178" s="14" t="s">
        <v>759</v>
      </c>
      <c r="E178" s="28">
        <f>0.342-0.038-0.072</f>
        <v>0.23200000000000004</v>
      </c>
    </row>
    <row r="179" spans="1:5" ht="34">
      <c r="A179" s="38" t="s">
        <v>958</v>
      </c>
      <c r="B179" s="12" t="s">
        <v>19</v>
      </c>
      <c r="C179" s="11" t="s">
        <v>180</v>
      </c>
      <c r="D179" s="14" t="s">
        <v>88</v>
      </c>
      <c r="E179" s="28">
        <f>1.04-0.698</f>
        <v>0.34200000000000008</v>
      </c>
    </row>
    <row r="180" spans="1:5" ht="34">
      <c r="A180" s="38" t="s">
        <v>958</v>
      </c>
      <c r="B180" s="12" t="s">
        <v>19</v>
      </c>
      <c r="C180" s="11" t="s">
        <v>685</v>
      </c>
      <c r="D180" s="14" t="s">
        <v>686</v>
      </c>
      <c r="E180" s="28">
        <f>4.882-0.118-1.626</f>
        <v>3.1379999999999995</v>
      </c>
    </row>
    <row r="181" spans="1:5" ht="34">
      <c r="A181" s="38" t="s">
        <v>958</v>
      </c>
      <c r="B181" s="12" t="s">
        <v>19</v>
      </c>
      <c r="C181" s="11" t="s">
        <v>442</v>
      </c>
      <c r="D181" s="14" t="s">
        <v>666</v>
      </c>
      <c r="E181" s="28">
        <f>0.42-0.212-0.07-0.046-0.07</f>
        <v>2.1999999999999978E-2</v>
      </c>
    </row>
    <row r="182" spans="1:5" ht="34">
      <c r="A182" s="38" t="s">
        <v>958</v>
      </c>
      <c r="B182" s="12" t="s">
        <v>19</v>
      </c>
      <c r="C182" s="11" t="s">
        <v>570</v>
      </c>
      <c r="D182" s="14" t="s">
        <v>625</v>
      </c>
      <c r="E182" s="28">
        <f>1.24-0.424-0.412</f>
        <v>0.40400000000000008</v>
      </c>
    </row>
    <row r="183" spans="1:5" ht="34">
      <c r="A183" s="38" t="s">
        <v>958</v>
      </c>
      <c r="B183" s="12" t="s">
        <v>19</v>
      </c>
      <c r="C183" s="11" t="s">
        <v>570</v>
      </c>
      <c r="D183" s="14" t="s">
        <v>769</v>
      </c>
      <c r="E183" s="28">
        <f>0.412-0.172</f>
        <v>0.24</v>
      </c>
    </row>
    <row r="184" spans="1:5" ht="34">
      <c r="A184" s="38" t="s">
        <v>958</v>
      </c>
      <c r="B184" s="12" t="s">
        <v>19</v>
      </c>
      <c r="C184" s="11" t="s">
        <v>570</v>
      </c>
      <c r="D184" s="14" t="s">
        <v>49</v>
      </c>
      <c r="E184" s="28">
        <f>2.09-0.416-0.821-0.434</f>
        <v>0.41899999999999998</v>
      </c>
    </row>
    <row r="185" spans="1:5" ht="34">
      <c r="A185" s="38" t="s">
        <v>958</v>
      </c>
      <c r="B185" s="12" t="s">
        <v>19</v>
      </c>
      <c r="C185" s="11" t="s">
        <v>570</v>
      </c>
      <c r="D185" s="14" t="s">
        <v>49</v>
      </c>
      <c r="E185" s="28">
        <f>2.42-0.408-0.402</f>
        <v>1.6099999999999999</v>
      </c>
    </row>
    <row r="186" spans="1:5" ht="34">
      <c r="A186" s="38" t="s">
        <v>958</v>
      </c>
      <c r="B186" s="12" t="s">
        <v>19</v>
      </c>
      <c r="C186" s="11" t="s">
        <v>570</v>
      </c>
      <c r="D186" s="14" t="s">
        <v>669</v>
      </c>
      <c r="E186" s="28">
        <f>0.408-0.204-0.054-0.036-(0.002)</f>
        <v>0.11199999999999999</v>
      </c>
    </row>
    <row r="187" spans="1:5" ht="34">
      <c r="A187" s="38" t="s">
        <v>958</v>
      </c>
      <c r="B187" s="12" t="s">
        <v>19</v>
      </c>
      <c r="C187" s="11" t="s">
        <v>570</v>
      </c>
      <c r="D187" s="14" t="s">
        <v>49</v>
      </c>
      <c r="E187" s="28">
        <f>1.59</f>
        <v>1.59</v>
      </c>
    </row>
    <row r="188" spans="1:5" ht="34">
      <c r="A188" s="38" t="s">
        <v>958</v>
      </c>
      <c r="B188" s="12" t="s">
        <v>19</v>
      </c>
      <c r="C188" s="11" t="s">
        <v>570</v>
      </c>
      <c r="D188" s="14" t="s">
        <v>49</v>
      </c>
      <c r="E188" s="28">
        <f>1.98</f>
        <v>1.98</v>
      </c>
    </row>
    <row r="189" spans="1:5" ht="34">
      <c r="A189" s="38" t="s">
        <v>958</v>
      </c>
      <c r="B189" s="1" t="s">
        <v>19</v>
      </c>
      <c r="C189" s="16" t="s">
        <v>834</v>
      </c>
      <c r="D189" s="8" t="s">
        <v>52</v>
      </c>
      <c r="E189" s="28">
        <f>22.82-20</f>
        <v>2.8200000000000003</v>
      </c>
    </row>
    <row r="190" spans="1:5" ht="34">
      <c r="A190" s="38" t="s">
        <v>958</v>
      </c>
      <c r="B190" s="12" t="s">
        <v>19</v>
      </c>
      <c r="C190" s="11" t="s">
        <v>902</v>
      </c>
      <c r="D190" s="14" t="s">
        <v>116</v>
      </c>
      <c r="E190" s="28">
        <f>3.87-0.193-0.949-0.383-0.387-0.195-0.197-0.774-0.589</f>
        <v>0.20300000000000007</v>
      </c>
    </row>
    <row r="191" spans="1:5" ht="34">
      <c r="A191" s="38" t="s">
        <v>958</v>
      </c>
      <c r="B191" s="12" t="s">
        <v>19</v>
      </c>
      <c r="C191" s="11" t="s">
        <v>685</v>
      </c>
      <c r="D191" s="14" t="s">
        <v>688</v>
      </c>
      <c r="E191" s="28">
        <f>5.012</f>
        <v>5.0119999999999996</v>
      </c>
    </row>
    <row r="192" spans="1:5" ht="34">
      <c r="A192" s="38" t="s">
        <v>958</v>
      </c>
      <c r="B192" s="1" t="s">
        <v>19</v>
      </c>
      <c r="C192" s="16" t="s">
        <v>180</v>
      </c>
      <c r="D192" s="7" t="s">
        <v>772</v>
      </c>
      <c r="E192" s="28">
        <f>0.704-0.03-0.35-(0.002)-0.066-0.048</f>
        <v>0.20799999999999996</v>
      </c>
    </row>
    <row r="193" spans="1:5" ht="34">
      <c r="A193" s="38" t="s">
        <v>958</v>
      </c>
      <c r="B193" s="1" t="s">
        <v>19</v>
      </c>
      <c r="C193" s="16" t="s">
        <v>180</v>
      </c>
      <c r="D193" s="7" t="s">
        <v>11</v>
      </c>
      <c r="E193" s="28">
        <f>4.15-0.692-0.692</f>
        <v>2.766</v>
      </c>
    </row>
    <row r="194" spans="1:5" ht="34">
      <c r="A194" s="38" t="s">
        <v>958</v>
      </c>
      <c r="B194" s="1" t="s">
        <v>19</v>
      </c>
      <c r="C194" s="16" t="s">
        <v>834</v>
      </c>
      <c r="D194" s="7" t="s">
        <v>11</v>
      </c>
      <c r="E194" s="28">
        <f>23.52-20</f>
        <v>3.5199999999999996</v>
      </c>
    </row>
    <row r="195" spans="1:5" ht="34">
      <c r="A195" s="38" t="s">
        <v>958</v>
      </c>
      <c r="B195" s="12" t="s">
        <v>19</v>
      </c>
      <c r="C195" s="11" t="s">
        <v>685</v>
      </c>
      <c r="D195" s="14" t="s">
        <v>687</v>
      </c>
      <c r="E195" s="28">
        <f>2.34-0.466</f>
        <v>1.8739999999999999</v>
      </c>
    </row>
    <row r="196" spans="1:5" ht="34">
      <c r="A196" s="38" t="s">
        <v>958</v>
      </c>
      <c r="B196" s="12" t="s">
        <v>19</v>
      </c>
      <c r="C196" s="11" t="s">
        <v>685</v>
      </c>
      <c r="D196" s="14" t="s">
        <v>760</v>
      </c>
      <c r="E196" s="28">
        <f>0.466-0.048-0.292-(0.002)</f>
        <v>0.12400000000000005</v>
      </c>
    </row>
    <row r="197" spans="1:5" ht="34">
      <c r="A197" s="38" t="s">
        <v>958</v>
      </c>
      <c r="B197" s="1" t="s">
        <v>19</v>
      </c>
      <c r="C197" s="16" t="s">
        <v>180</v>
      </c>
      <c r="D197" s="7" t="s">
        <v>545</v>
      </c>
      <c r="E197" s="28">
        <f>8.29-0.84-0.822-4</f>
        <v>2.6279999999999992</v>
      </c>
    </row>
    <row r="198" spans="1:5" ht="34">
      <c r="A198" s="38" t="s">
        <v>958</v>
      </c>
      <c r="B198" s="1" t="s">
        <v>19</v>
      </c>
      <c r="C198" s="16" t="s">
        <v>180</v>
      </c>
      <c r="D198" s="7" t="s">
        <v>888</v>
      </c>
      <c r="E198" s="28">
        <f>0.822-0.098-0.05+(0.002)</f>
        <v>0.67599999999999993</v>
      </c>
    </row>
    <row r="199" spans="1:5" ht="34">
      <c r="A199" s="38" t="s">
        <v>958</v>
      </c>
      <c r="B199" s="1" t="s">
        <v>19</v>
      </c>
      <c r="C199" s="16" t="s">
        <v>834</v>
      </c>
      <c r="D199" s="7" t="s">
        <v>47</v>
      </c>
      <c r="E199" s="28">
        <f>21.92-18</f>
        <v>3.9200000000000017</v>
      </c>
    </row>
    <row r="200" spans="1:5" ht="34">
      <c r="A200" s="38" t="s">
        <v>958</v>
      </c>
      <c r="B200" s="1" t="s">
        <v>19</v>
      </c>
      <c r="C200" s="16" t="s">
        <v>180</v>
      </c>
      <c r="D200" s="7" t="s">
        <v>830</v>
      </c>
      <c r="E200" s="28">
        <f>0.97-0.484-(0.001)-0.041</f>
        <v>0.44400000000000001</v>
      </c>
    </row>
    <row r="201" spans="1:5" ht="34">
      <c r="A201" s="38" t="s">
        <v>958</v>
      </c>
      <c r="B201" s="12" t="s">
        <v>19</v>
      </c>
      <c r="C201" s="11" t="s">
        <v>685</v>
      </c>
      <c r="D201" s="14" t="s">
        <v>689</v>
      </c>
      <c r="E201" s="28">
        <f>2.35</f>
        <v>2.35</v>
      </c>
    </row>
    <row r="202" spans="1:5" ht="34">
      <c r="A202" s="38" t="s">
        <v>958</v>
      </c>
      <c r="B202" s="1" t="s">
        <v>19</v>
      </c>
      <c r="C202" s="16" t="s">
        <v>180</v>
      </c>
      <c r="D202" s="8" t="s">
        <v>626</v>
      </c>
      <c r="E202" s="28">
        <f>7.67-1.088-2.194</f>
        <v>4.3879999999999999</v>
      </c>
    </row>
    <row r="203" spans="1:5" ht="34">
      <c r="A203" s="38" t="s">
        <v>958</v>
      </c>
      <c r="B203" s="1" t="s">
        <v>19</v>
      </c>
      <c r="C203" s="16" t="s">
        <v>180</v>
      </c>
      <c r="D203" s="7" t="s">
        <v>771</v>
      </c>
      <c r="E203" s="28">
        <f>1.15-0.064+(0.096)</f>
        <v>1.1819999999999999</v>
      </c>
    </row>
    <row r="204" spans="1:5" ht="34">
      <c r="A204" s="38" t="s">
        <v>958</v>
      </c>
      <c r="B204" s="1" t="s">
        <v>19</v>
      </c>
      <c r="C204" s="16" t="s">
        <v>180</v>
      </c>
      <c r="D204" s="7" t="s">
        <v>261</v>
      </c>
      <c r="E204" s="28">
        <f>3.78</f>
        <v>3.78</v>
      </c>
    </row>
    <row r="205" spans="1:5" ht="34">
      <c r="A205" s="38" t="s">
        <v>958</v>
      </c>
      <c r="B205" s="1" t="s">
        <v>19</v>
      </c>
      <c r="C205" s="16" t="s">
        <v>180</v>
      </c>
      <c r="D205" s="7" t="s">
        <v>835</v>
      </c>
      <c r="E205" s="28">
        <f>1.41-0.232-(0.02)-0.118-0.118-0.698</f>
        <v>0.22400000000000009</v>
      </c>
    </row>
    <row r="206" spans="1:5" ht="34">
      <c r="A206" s="38" t="s">
        <v>958</v>
      </c>
      <c r="B206" s="1" t="s">
        <v>19</v>
      </c>
      <c r="C206" s="16" t="s">
        <v>180</v>
      </c>
      <c r="D206" s="7" t="s">
        <v>37</v>
      </c>
      <c r="E206" s="28">
        <f>2.77</f>
        <v>2.77</v>
      </c>
    </row>
    <row r="207" spans="1:5" ht="34">
      <c r="A207" s="38" t="s">
        <v>958</v>
      </c>
      <c r="B207" s="1" t="s">
        <v>19</v>
      </c>
      <c r="C207" s="16" t="s">
        <v>635</v>
      </c>
      <c r="D207" s="7" t="s">
        <v>72</v>
      </c>
      <c r="E207" s="28">
        <f>5.04-1.66</f>
        <v>3.38</v>
      </c>
    </row>
    <row r="208" spans="1:5" ht="34">
      <c r="A208" s="38" t="s">
        <v>958</v>
      </c>
      <c r="B208" s="1" t="s">
        <v>19</v>
      </c>
      <c r="C208" s="16" t="s">
        <v>635</v>
      </c>
      <c r="D208" s="7" t="s">
        <v>749</v>
      </c>
      <c r="E208" s="28">
        <f>1.66-0.882</f>
        <v>0.77799999999999991</v>
      </c>
    </row>
    <row r="209" spans="1:5" ht="34">
      <c r="A209" s="38" t="s">
        <v>958</v>
      </c>
      <c r="B209" s="1" t="s">
        <v>19</v>
      </c>
      <c r="C209" s="16" t="s">
        <v>311</v>
      </c>
      <c r="D209" s="7" t="s">
        <v>76</v>
      </c>
      <c r="E209" s="28">
        <f>1.62</f>
        <v>1.62</v>
      </c>
    </row>
    <row r="210" spans="1:5" ht="34">
      <c r="A210" s="38" t="s">
        <v>958</v>
      </c>
      <c r="B210" s="1" t="s">
        <v>19</v>
      </c>
      <c r="C210" s="16" t="s">
        <v>311</v>
      </c>
      <c r="D210" s="7" t="s">
        <v>821</v>
      </c>
      <c r="E210" s="28">
        <f>1.21-0.359+(0.004)</f>
        <v>0.85499999999999998</v>
      </c>
    </row>
    <row r="211" spans="1:5" ht="34">
      <c r="A211" s="38" t="s">
        <v>958</v>
      </c>
      <c r="B211" s="1" t="s">
        <v>19</v>
      </c>
      <c r="C211" s="16" t="s">
        <v>311</v>
      </c>
      <c r="D211" s="7" t="s">
        <v>628</v>
      </c>
      <c r="E211" s="28">
        <f>1.51</f>
        <v>1.51</v>
      </c>
    </row>
    <row r="212" spans="1:5" ht="34">
      <c r="A212" s="38" t="s">
        <v>958</v>
      </c>
      <c r="B212" s="1" t="s">
        <v>6</v>
      </c>
      <c r="C212" s="1" t="s">
        <v>272</v>
      </c>
      <c r="D212" s="5" t="s">
        <v>518</v>
      </c>
      <c r="E212" s="28">
        <f>4.715-0.031-0.229-0.155-0.034-0.211-0.066-0.363-1.482-0.032-0.264-0.032-0.032-0.064-0.03-0.032</f>
        <v>1.6579999999999999</v>
      </c>
    </row>
    <row r="213" spans="1:5" ht="34">
      <c r="A213" s="38" t="s">
        <v>958</v>
      </c>
      <c r="B213" s="1" t="s">
        <v>6</v>
      </c>
      <c r="C213" s="1" t="s">
        <v>272</v>
      </c>
      <c r="D213" s="12" t="s">
        <v>5</v>
      </c>
      <c r="E213" s="28">
        <f>3.71-0.494-0.576-0.332-0.206-0.04-0.04-0.158-0.04-0.04-0.038-0.08-0.239-0.08-0.12-0.124-0.532-0.04-0.12</f>
        <v>0.4109999999999997</v>
      </c>
    </row>
    <row r="214" spans="1:5" ht="34">
      <c r="A214" s="38" t="s">
        <v>958</v>
      </c>
      <c r="B214" s="1" t="s">
        <v>6</v>
      </c>
      <c r="C214" s="1" t="s">
        <v>359</v>
      </c>
      <c r="D214" s="12" t="s">
        <v>5</v>
      </c>
      <c r="E214" s="28">
        <f>3.09-0.326-0.202-0.122-0.081-0.656+(0.656)</f>
        <v>2.359</v>
      </c>
    </row>
    <row r="215" spans="1:5" ht="34">
      <c r="A215" s="38" t="s">
        <v>958</v>
      </c>
      <c r="B215" s="1" t="s">
        <v>6</v>
      </c>
      <c r="C215" s="1" t="s">
        <v>272</v>
      </c>
      <c r="D215" s="12" t="s">
        <v>79</v>
      </c>
      <c r="E215" s="28">
        <f>4.975-0.048-0.097-0.344-1.975-0.048-0.196-0.048-0.05-0.048-0.15</f>
        <v>1.9709999999999988</v>
      </c>
    </row>
    <row r="216" spans="1:5" ht="34">
      <c r="A216" s="38" t="s">
        <v>958</v>
      </c>
      <c r="B216" s="1" t="s">
        <v>6</v>
      </c>
      <c r="C216" s="1" t="s">
        <v>554</v>
      </c>
      <c r="D216" s="12" t="s">
        <v>347</v>
      </c>
      <c r="E216" s="28">
        <f>20.79-0.147-0.219-0.513-0.292-0.074-0.146-0.222-0.143-0.659-2.064-0.074-0.144-15</f>
        <v>1.0929999999999929</v>
      </c>
    </row>
    <row r="217" spans="1:5" ht="34">
      <c r="A217" s="38" t="s">
        <v>958</v>
      </c>
      <c r="B217" s="1" t="s">
        <v>6</v>
      </c>
      <c r="C217" s="1" t="s">
        <v>554</v>
      </c>
      <c r="D217" s="12" t="s">
        <v>555</v>
      </c>
      <c r="E217" s="28">
        <f>23.445-3.523-0.086-1.032-1.113-4.895-11.579</f>
        <v>1.2170000000000023</v>
      </c>
    </row>
    <row r="218" spans="1:5" ht="34">
      <c r="A218" s="38" t="s">
        <v>958</v>
      </c>
      <c r="B218" s="1" t="s">
        <v>6</v>
      </c>
      <c r="C218" s="1" t="s">
        <v>281</v>
      </c>
      <c r="D218" s="12" t="s">
        <v>282</v>
      </c>
      <c r="E218" s="28">
        <f>21.17-2.792-0.962-0.287-0.097-0.479-0.579-1-0.531-1.531-0.096-0.096-1.722-3.065-1.057-0.289-0.292-0.191-2.011-0.096-0.192-0.481-1.059-0.767-0.384-1.06</f>
        <v>5.3999999999999826E-2</v>
      </c>
    </row>
    <row r="219" spans="1:5" ht="34">
      <c r="A219" s="38" t="s">
        <v>958</v>
      </c>
      <c r="B219" s="1" t="s">
        <v>6</v>
      </c>
      <c r="C219" s="1" t="s">
        <v>556</v>
      </c>
      <c r="D219" s="12" t="s">
        <v>282</v>
      </c>
      <c r="E219" s="28">
        <f>20.24-3.9-4.74-0.57-2.09-0.094-0.468-0.094-0.099-1.04</f>
        <v>7.1450000000000005</v>
      </c>
    </row>
    <row r="220" spans="1:5" ht="34">
      <c r="A220" s="38" t="s">
        <v>958</v>
      </c>
      <c r="B220" s="1" t="s">
        <v>6</v>
      </c>
      <c r="C220" s="1" t="s">
        <v>604</v>
      </c>
      <c r="D220" s="12" t="s">
        <v>320</v>
      </c>
      <c r="E220" s="28">
        <f>7.455-1.116-1.102-0.552-1.648-0.544-1.924-0.28</f>
        <v>0.28900000000000081</v>
      </c>
    </row>
    <row r="221" spans="1:5" ht="34">
      <c r="A221" s="38" t="s">
        <v>958</v>
      </c>
      <c r="B221" s="1" t="s">
        <v>6</v>
      </c>
      <c r="C221" s="1" t="s">
        <v>604</v>
      </c>
      <c r="D221" s="12" t="s">
        <v>903</v>
      </c>
      <c r="E221" s="28">
        <f>0.28-0.24</f>
        <v>4.0000000000000036E-2</v>
      </c>
    </row>
    <row r="222" spans="1:5" ht="34">
      <c r="A222" s="38" t="s">
        <v>958</v>
      </c>
      <c r="B222" s="1" t="s">
        <v>6</v>
      </c>
      <c r="C222" s="1" t="s">
        <v>270</v>
      </c>
      <c r="D222" s="12" t="s">
        <v>205</v>
      </c>
      <c r="E222" s="30">
        <f>1.978-0.342-0.07-0.346-0.479-0.136-0.068-0.411</f>
        <v>0.12599999999999972</v>
      </c>
    </row>
    <row r="223" spans="1:5" ht="34">
      <c r="A223" s="38" t="s">
        <v>958</v>
      </c>
      <c r="B223" s="1" t="s">
        <v>6</v>
      </c>
      <c r="C223" s="1" t="s">
        <v>270</v>
      </c>
      <c r="D223" s="12" t="s">
        <v>205</v>
      </c>
      <c r="E223" s="30">
        <f>2.795-0.925</f>
        <v>1.8699999999999999</v>
      </c>
    </row>
    <row r="224" spans="1:5" ht="34">
      <c r="A224" s="38" t="s">
        <v>958</v>
      </c>
      <c r="B224" s="1" t="s">
        <v>6</v>
      </c>
      <c r="C224" s="1" t="s">
        <v>338</v>
      </c>
      <c r="D224" s="5" t="s">
        <v>61</v>
      </c>
      <c r="E224" s="28">
        <f>21.98-3.844-0.351-1-0.351-0.35-1.038-0.348-0.346-0.344-0.346-1.05-0.348-0.345-5</f>
        <v>6.9189999999999969</v>
      </c>
    </row>
    <row r="225" spans="1:5" ht="34">
      <c r="A225" s="38" t="s">
        <v>958</v>
      </c>
      <c r="B225" s="1" t="s">
        <v>6</v>
      </c>
      <c r="C225" s="1" t="s">
        <v>338</v>
      </c>
      <c r="D225" s="5" t="s">
        <v>697</v>
      </c>
      <c r="E225" s="28">
        <f>0.348-0.174-0.156</f>
        <v>1.7999999999999988E-2</v>
      </c>
    </row>
    <row r="226" spans="1:5" ht="34">
      <c r="A226" s="38" t="s">
        <v>958</v>
      </c>
      <c r="B226" s="1" t="s">
        <v>6</v>
      </c>
      <c r="C226" s="1" t="s">
        <v>338</v>
      </c>
      <c r="D226" s="5" t="s">
        <v>904</v>
      </c>
      <c r="E226" s="28">
        <f>0.346-0.036-0.18</f>
        <v>0.13</v>
      </c>
    </row>
    <row r="227" spans="1:5" ht="34">
      <c r="A227" s="38" t="s">
        <v>958</v>
      </c>
      <c r="B227" s="1" t="s">
        <v>6</v>
      </c>
      <c r="C227" s="1" t="s">
        <v>338</v>
      </c>
      <c r="D227" s="5" t="s">
        <v>869</v>
      </c>
      <c r="E227" s="28">
        <f>0.345-0.087</f>
        <v>0.25800000000000001</v>
      </c>
    </row>
    <row r="228" spans="1:5" ht="34">
      <c r="A228" s="38" t="s">
        <v>958</v>
      </c>
      <c r="B228" s="2" t="s">
        <v>6</v>
      </c>
      <c r="C228" s="1" t="s">
        <v>339</v>
      </c>
      <c r="D228" s="5" t="s">
        <v>49</v>
      </c>
      <c r="E228" s="28">
        <f>18.98-0.414-0.42-0.418-1.236-0.41-0.412-2.064-0.418-0.413-0.417-0.414-4.118-3.724-0.415-0.828-0.412-0.41-0.412-0.82-0.414</f>
        <v>0.39099999999999696</v>
      </c>
    </row>
    <row r="229" spans="1:5" ht="34">
      <c r="A229" s="38" t="s">
        <v>958</v>
      </c>
      <c r="B229" s="2" t="s">
        <v>6</v>
      </c>
      <c r="C229" s="1" t="s">
        <v>339</v>
      </c>
      <c r="D229" s="5" t="s">
        <v>905</v>
      </c>
      <c r="E229" s="28">
        <f>0.414-0.082-0.104-(0.001)-0.1</f>
        <v>0.12699999999999997</v>
      </c>
    </row>
    <row r="230" spans="1:5" ht="34">
      <c r="A230" s="38" t="s">
        <v>958</v>
      </c>
      <c r="B230" s="2" t="s">
        <v>6</v>
      </c>
      <c r="C230" s="1" t="s">
        <v>339</v>
      </c>
      <c r="D230" s="5" t="s">
        <v>906</v>
      </c>
      <c r="E230" s="28">
        <f>1.7-1.485</f>
        <v>0.21499999999999986</v>
      </c>
    </row>
    <row r="231" spans="1:5" ht="34">
      <c r="A231" s="38" t="s">
        <v>958</v>
      </c>
      <c r="B231" s="2" t="s">
        <v>6</v>
      </c>
      <c r="C231" s="1" t="s">
        <v>339</v>
      </c>
      <c r="D231" s="5" t="s">
        <v>52</v>
      </c>
      <c r="E231" s="28">
        <f>21.26-0.483-15</f>
        <v>5.777000000000001</v>
      </c>
    </row>
    <row r="232" spans="1:5" ht="34">
      <c r="A232" s="38" t="s">
        <v>958</v>
      </c>
      <c r="B232" s="2" t="s">
        <v>6</v>
      </c>
      <c r="C232" s="1" t="s">
        <v>339</v>
      </c>
      <c r="D232" s="5" t="s">
        <v>803</v>
      </c>
      <c r="E232" s="28">
        <f>0.483-0.041</f>
        <v>0.442</v>
      </c>
    </row>
    <row r="233" spans="1:5" ht="34">
      <c r="A233" s="38" t="s">
        <v>958</v>
      </c>
      <c r="B233" s="2" t="s">
        <v>6</v>
      </c>
      <c r="C233" s="1" t="s">
        <v>339</v>
      </c>
      <c r="D233" s="5" t="s">
        <v>671</v>
      </c>
      <c r="E233" s="28">
        <f>0.542-0.326-0.024+(0.002)</f>
        <v>0.19400000000000003</v>
      </c>
    </row>
    <row r="234" spans="1:5" ht="34">
      <c r="A234" s="38" t="s">
        <v>958</v>
      </c>
      <c r="B234" s="2" t="s">
        <v>6</v>
      </c>
      <c r="C234" s="1" t="s">
        <v>603</v>
      </c>
      <c r="D234" s="5" t="s">
        <v>22</v>
      </c>
      <c r="E234" s="28">
        <f>12.01-0.544-2.178-0.544-0.546-1.634-0.547-0.546-0.546-0.542</f>
        <v>4.383</v>
      </c>
    </row>
    <row r="235" spans="1:5" ht="34">
      <c r="A235" s="38" t="s">
        <v>958</v>
      </c>
      <c r="B235" s="2" t="s">
        <v>6</v>
      </c>
      <c r="C235" s="1" t="s">
        <v>603</v>
      </c>
      <c r="D235" s="5" t="s">
        <v>434</v>
      </c>
      <c r="E235" s="28">
        <f>0.546-0.246-0.091-(0.001)-0.028</f>
        <v>0.18000000000000005</v>
      </c>
    </row>
    <row r="236" spans="1:5" ht="34">
      <c r="A236" s="38" t="s">
        <v>958</v>
      </c>
      <c r="B236" s="2" t="s">
        <v>6</v>
      </c>
      <c r="C236" s="12" t="s">
        <v>728</v>
      </c>
      <c r="D236" s="10" t="s">
        <v>22</v>
      </c>
      <c r="E236" s="27">
        <f>18.4-1.094-0.566-10.4</f>
        <v>6.3399999999999981</v>
      </c>
    </row>
    <row r="237" spans="1:5" ht="34">
      <c r="A237" s="38" t="s">
        <v>958</v>
      </c>
      <c r="B237" s="2" t="s">
        <v>6</v>
      </c>
      <c r="C237" s="12" t="s">
        <v>271</v>
      </c>
      <c r="D237" s="10" t="s">
        <v>11</v>
      </c>
      <c r="E237" s="27">
        <f>22.59-2.062-0.683-0.687-0.689-0.684-2.043-0.684-0.686-0.686-2.049-1.368-1.37-0.684-0.69-0.682-0.684-0.682</f>
        <v>5.4769999999999976</v>
      </c>
    </row>
    <row r="238" spans="1:5" ht="34">
      <c r="A238" s="38" t="s">
        <v>958</v>
      </c>
      <c r="B238" s="2" t="s">
        <v>6</v>
      </c>
      <c r="C238" s="12" t="s">
        <v>271</v>
      </c>
      <c r="D238" s="10" t="s">
        <v>719</v>
      </c>
      <c r="E238" s="27">
        <f>0.686-0.344-0.276</f>
        <v>6.6000000000000059E-2</v>
      </c>
    </row>
    <row r="239" spans="1:5" ht="34">
      <c r="A239" s="38" t="s">
        <v>958</v>
      </c>
      <c r="B239" s="2" t="s">
        <v>6</v>
      </c>
      <c r="C239" s="12" t="s">
        <v>271</v>
      </c>
      <c r="D239" s="10" t="s">
        <v>775</v>
      </c>
      <c r="E239" s="27">
        <f>0.684-0.114-0.059+(0.001)-0.172-0.228-(0.002)-0.052</f>
        <v>5.8000000000000128E-2</v>
      </c>
    </row>
    <row r="240" spans="1:5" ht="34">
      <c r="A240" s="38" t="s">
        <v>958</v>
      </c>
      <c r="B240" s="2" t="s">
        <v>6</v>
      </c>
      <c r="C240" s="12" t="s">
        <v>271</v>
      </c>
      <c r="D240" s="10" t="s">
        <v>831</v>
      </c>
      <c r="E240" s="27">
        <f>0.684-0.232-0.344-0.03-0.042-(0.001)</f>
        <v>3.5000000000000094E-2</v>
      </c>
    </row>
    <row r="241" spans="1:5" ht="34">
      <c r="A241" s="38" t="s">
        <v>958</v>
      </c>
      <c r="B241" s="2" t="s">
        <v>6</v>
      </c>
      <c r="C241" s="12" t="s">
        <v>271</v>
      </c>
      <c r="D241" s="10" t="s">
        <v>907</v>
      </c>
      <c r="E241" s="27">
        <f>0.682-0.115-0.378</f>
        <v>0.18900000000000006</v>
      </c>
    </row>
    <row r="242" spans="1:5" ht="34">
      <c r="A242" s="38" t="s">
        <v>958</v>
      </c>
      <c r="B242" s="2" t="s">
        <v>6</v>
      </c>
      <c r="C242" s="12" t="s">
        <v>728</v>
      </c>
      <c r="D242" s="10" t="s">
        <v>11</v>
      </c>
      <c r="E242" s="27">
        <f>24.035-2.06-16.035</f>
        <v>5.9400000000000013</v>
      </c>
    </row>
    <row r="243" spans="1:5" ht="34">
      <c r="A243" s="38" t="s">
        <v>958</v>
      </c>
      <c r="B243" s="2" t="s">
        <v>6</v>
      </c>
      <c r="C243" s="12" t="s">
        <v>157</v>
      </c>
      <c r="D243" s="5" t="s">
        <v>844</v>
      </c>
      <c r="E243" s="28">
        <f>0.824-0.14+(0.007)</f>
        <v>0.69099999999999995</v>
      </c>
    </row>
    <row r="244" spans="1:5" ht="34">
      <c r="A244" s="38" t="s">
        <v>958</v>
      </c>
      <c r="B244" s="2" t="s">
        <v>6</v>
      </c>
      <c r="C244" s="12" t="s">
        <v>157</v>
      </c>
      <c r="D244" s="5" t="s">
        <v>820</v>
      </c>
      <c r="E244" s="30">
        <f>0.91-0.082-0.026-0.196-0.082-0.044-(0.002)-0.042-0.05-0.04-(0.002)-0.042-0.066-0.05-(0.002)-0.042-0.041-(0.002)</f>
        <v>9.9000000000000199E-2</v>
      </c>
    </row>
    <row r="245" spans="1:5" ht="34">
      <c r="A245" s="38" t="s">
        <v>958</v>
      </c>
      <c r="B245" s="12" t="s">
        <v>6</v>
      </c>
      <c r="C245" s="12" t="s">
        <v>157</v>
      </c>
      <c r="D245" s="12" t="s">
        <v>870</v>
      </c>
      <c r="E245" s="28">
        <f>1.106-0.662-(0.002)</f>
        <v>0.44200000000000006</v>
      </c>
    </row>
    <row r="246" spans="1:5" ht="34">
      <c r="A246" s="38" t="s">
        <v>958</v>
      </c>
      <c r="B246" s="12" t="s">
        <v>6</v>
      </c>
      <c r="C246" s="12" t="s">
        <v>157</v>
      </c>
      <c r="D246" s="12" t="s">
        <v>857</v>
      </c>
      <c r="E246" s="28">
        <f>1.282</f>
        <v>1.282</v>
      </c>
    </row>
    <row r="247" spans="1:5" ht="34">
      <c r="A247" s="38" t="s">
        <v>958</v>
      </c>
      <c r="B247" s="12" t="s">
        <v>6</v>
      </c>
      <c r="C247" s="12" t="s">
        <v>157</v>
      </c>
      <c r="D247" s="12" t="s">
        <v>452</v>
      </c>
      <c r="E247" s="28">
        <f>1.327</f>
        <v>1.327</v>
      </c>
    </row>
    <row r="248" spans="1:5" ht="34">
      <c r="A248" s="38" t="s">
        <v>958</v>
      </c>
      <c r="B248" s="2" t="s">
        <v>6</v>
      </c>
      <c r="C248" s="12" t="s">
        <v>454</v>
      </c>
      <c r="D248" s="5" t="s">
        <v>386</v>
      </c>
      <c r="E248" s="30">
        <f>3.195-1.03-1.043</f>
        <v>1.1220000000000001</v>
      </c>
    </row>
    <row r="249" spans="1:5" ht="34">
      <c r="A249" s="38" t="s">
        <v>958</v>
      </c>
      <c r="B249" s="2" t="s">
        <v>6</v>
      </c>
      <c r="C249" s="12" t="s">
        <v>454</v>
      </c>
      <c r="D249" s="5" t="s">
        <v>832</v>
      </c>
      <c r="E249" s="30">
        <f>1.03-0.35+(0.005)-0.346-0.104-0.106-0.061</f>
        <v>6.8000000000000116E-2</v>
      </c>
    </row>
    <row r="250" spans="1:5" ht="34">
      <c r="A250" s="38" t="s">
        <v>958</v>
      </c>
      <c r="B250" s="2" t="s">
        <v>6</v>
      </c>
      <c r="C250" s="12" t="s">
        <v>157</v>
      </c>
      <c r="D250" s="5" t="s">
        <v>855</v>
      </c>
      <c r="E250" s="28">
        <f>3.411-2.272-0.068-(0.011)-0.562-0.048</f>
        <v>0.45000000000000023</v>
      </c>
    </row>
    <row r="251" spans="1:5" ht="34">
      <c r="A251" s="38" t="s">
        <v>958</v>
      </c>
      <c r="B251" s="2" t="s">
        <v>6</v>
      </c>
      <c r="C251" s="12" t="s">
        <v>157</v>
      </c>
      <c r="D251" s="5" t="s">
        <v>661</v>
      </c>
      <c r="E251" s="28">
        <f>1.118-0.562-(0.008)</f>
        <v>0.54800000000000004</v>
      </c>
    </row>
    <row r="252" spans="1:5" ht="34">
      <c r="A252" s="38" t="s">
        <v>958</v>
      </c>
      <c r="B252" s="2" t="s">
        <v>6</v>
      </c>
      <c r="C252" s="12" t="s">
        <v>157</v>
      </c>
      <c r="D252" s="5" t="s">
        <v>845</v>
      </c>
      <c r="E252" s="28">
        <f>1.15-0.208-(0.004)</f>
        <v>0.93799999999999994</v>
      </c>
    </row>
    <row r="253" spans="1:5" ht="34">
      <c r="A253" s="38" t="s">
        <v>958</v>
      </c>
      <c r="B253" s="2" t="s">
        <v>6</v>
      </c>
      <c r="C253" s="12" t="s">
        <v>157</v>
      </c>
      <c r="D253" s="5" t="s">
        <v>508</v>
      </c>
      <c r="E253" s="28">
        <f>3.032</f>
        <v>3.032</v>
      </c>
    </row>
    <row r="254" spans="1:5" ht="34">
      <c r="A254" s="38" t="s">
        <v>958</v>
      </c>
      <c r="B254" s="2" t="s">
        <v>6</v>
      </c>
      <c r="C254" s="12" t="s">
        <v>157</v>
      </c>
      <c r="D254" s="5" t="s">
        <v>908</v>
      </c>
      <c r="E254" s="28">
        <f>2.57-1.266-0.102-0.03-0.214-0.204-0.108-0.15-(0.004)</f>
        <v>0.49199999999999977</v>
      </c>
    </row>
    <row r="255" spans="1:5" ht="34">
      <c r="A255" s="38" t="s">
        <v>958</v>
      </c>
      <c r="B255" s="2" t="s">
        <v>6</v>
      </c>
      <c r="C255" s="12" t="s">
        <v>157</v>
      </c>
      <c r="D255" s="5" t="s">
        <v>909</v>
      </c>
      <c r="E255" s="28">
        <f>1.285-0.356-(0.007)-0.39-(0.006)</f>
        <v>0.52599999999999991</v>
      </c>
    </row>
    <row r="256" spans="1:5" ht="34">
      <c r="A256" s="38" t="s">
        <v>958</v>
      </c>
      <c r="B256" s="2" t="s">
        <v>6</v>
      </c>
      <c r="C256" s="12" t="s">
        <v>305</v>
      </c>
      <c r="D256" s="5" t="s">
        <v>854</v>
      </c>
      <c r="E256" s="28">
        <f>2.57-1.266-0.21-(0.038)-0.212-0.108-0.106-(0.002)-0.109</f>
        <v>0.51899999999999991</v>
      </c>
    </row>
    <row r="257" spans="1:5" ht="34">
      <c r="A257" s="38" t="s">
        <v>958</v>
      </c>
      <c r="B257" s="2" t="s">
        <v>6</v>
      </c>
      <c r="C257" s="12" t="s">
        <v>157</v>
      </c>
      <c r="D257" s="5" t="s">
        <v>261</v>
      </c>
      <c r="E257" s="28">
        <f>5.14-1.244-1.252</f>
        <v>2.6440000000000001</v>
      </c>
    </row>
    <row r="258" spans="1:5" ht="34">
      <c r="A258" s="38" t="s">
        <v>958</v>
      </c>
      <c r="B258" s="2" t="s">
        <v>6</v>
      </c>
      <c r="C258" s="12" t="s">
        <v>157</v>
      </c>
      <c r="D258" s="5" t="s">
        <v>876</v>
      </c>
      <c r="E258" s="28">
        <f>1.244-0.35-0.352-0.211-(0.001)-0.21-(0.002)</f>
        <v>0.11800000000000008</v>
      </c>
    </row>
    <row r="259" spans="1:5" ht="34">
      <c r="A259" s="38" t="s">
        <v>958</v>
      </c>
      <c r="B259" s="2" t="s">
        <v>6</v>
      </c>
      <c r="C259" s="12" t="s">
        <v>157</v>
      </c>
      <c r="D259" s="5" t="s">
        <v>548</v>
      </c>
      <c r="E259" s="28">
        <f>1.384-0.23-0.186-0.013-0.464-(0.001)-0.164-0.094-(0.002)-0.118</f>
        <v>0.11199999999999996</v>
      </c>
    </row>
    <row r="260" spans="1:5" ht="34">
      <c r="A260" s="38" t="s">
        <v>958</v>
      </c>
      <c r="B260" s="2" t="s">
        <v>6</v>
      </c>
      <c r="C260" s="12" t="s">
        <v>157</v>
      </c>
      <c r="D260" s="5" t="s">
        <v>910</v>
      </c>
      <c r="E260" s="28">
        <f>1.366-0.756-0.196-0.026-0.245</f>
        <v>0.14300000000000007</v>
      </c>
    </row>
    <row r="261" spans="1:5" ht="34">
      <c r="A261" s="38" t="s">
        <v>958</v>
      </c>
      <c r="B261" s="2" t="s">
        <v>6</v>
      </c>
      <c r="C261" s="12" t="s">
        <v>519</v>
      </c>
      <c r="D261" s="5" t="s">
        <v>833</v>
      </c>
      <c r="E261" s="28">
        <f>2.856-1.39-(0.038)-0.322-(0.042)-0.468-0.072-(0.003)</f>
        <v>0.52099999999999991</v>
      </c>
    </row>
    <row r="262" spans="1:5" ht="34">
      <c r="A262" s="38" t="s">
        <v>958</v>
      </c>
      <c r="B262" s="2" t="s">
        <v>6</v>
      </c>
      <c r="C262" s="12" t="s">
        <v>519</v>
      </c>
      <c r="D262" s="5" t="s">
        <v>548</v>
      </c>
      <c r="E262" s="28">
        <f>1.39-0.582-0.694-(0.002)</f>
        <v>0.11199999999999999</v>
      </c>
    </row>
    <row r="263" spans="1:5" ht="34">
      <c r="A263" s="38" t="s">
        <v>958</v>
      </c>
      <c r="B263" s="2" t="s">
        <v>6</v>
      </c>
      <c r="C263" s="12" t="s">
        <v>157</v>
      </c>
      <c r="D263" s="5" t="s">
        <v>659</v>
      </c>
      <c r="E263" s="28">
        <f>1.428-0.714</f>
        <v>0.71399999999999997</v>
      </c>
    </row>
    <row r="264" spans="1:5" ht="34">
      <c r="A264" s="38" t="s">
        <v>958</v>
      </c>
      <c r="B264" s="2" t="s">
        <v>6</v>
      </c>
      <c r="C264" s="12" t="s">
        <v>157</v>
      </c>
      <c r="D264" s="5" t="s">
        <v>846</v>
      </c>
      <c r="E264" s="28">
        <f>3.142-1.544-0.408-(0.074)</f>
        <v>1.1159999999999999</v>
      </c>
    </row>
    <row r="265" spans="1:5" ht="34">
      <c r="A265" s="38" t="s">
        <v>958</v>
      </c>
      <c r="B265" s="2" t="s">
        <v>6</v>
      </c>
      <c r="C265" s="12" t="s">
        <v>157</v>
      </c>
      <c r="D265" s="5" t="s">
        <v>745</v>
      </c>
      <c r="E265" s="28">
        <f>1.544-0.13-0.022-0.284-(0.004)-0.774-0.25</f>
        <v>8.0000000000000071E-2</v>
      </c>
    </row>
    <row r="266" spans="1:5" ht="34">
      <c r="A266" s="38" t="s">
        <v>958</v>
      </c>
      <c r="B266" s="2" t="s">
        <v>6</v>
      </c>
      <c r="C266" s="12" t="s">
        <v>157</v>
      </c>
      <c r="D266" s="5" t="s">
        <v>54</v>
      </c>
      <c r="E266" s="28">
        <f>3.142</f>
        <v>3.1419999999999999</v>
      </c>
    </row>
    <row r="267" spans="1:5" ht="34">
      <c r="A267" s="38" t="s">
        <v>958</v>
      </c>
      <c r="B267" s="2" t="s">
        <v>6</v>
      </c>
      <c r="C267" s="12" t="s">
        <v>455</v>
      </c>
      <c r="D267" s="5" t="s">
        <v>911</v>
      </c>
      <c r="E267" s="28">
        <f>1.751-0.146-0.442-0.496-(0.001)-0.09-(0.002)-0.12</f>
        <v>0.45400000000000007</v>
      </c>
    </row>
    <row r="268" spans="1:5" ht="34">
      <c r="A268" s="38" t="s">
        <v>958</v>
      </c>
      <c r="B268" s="2" t="s">
        <v>6</v>
      </c>
      <c r="C268" s="12" t="s">
        <v>157</v>
      </c>
      <c r="D268" s="5" t="s">
        <v>590</v>
      </c>
      <c r="E268" s="28">
        <f>1.772-0.298-0.15-(0.002)-0.596-(0.002)-0.312-(0.006)-0.178-0.044-(0.002)</f>
        <v>0.18200000000000011</v>
      </c>
    </row>
    <row r="269" spans="1:5" ht="34">
      <c r="A269" s="38" t="s">
        <v>958</v>
      </c>
      <c r="B269" s="2" t="s">
        <v>6</v>
      </c>
      <c r="C269" s="12" t="s">
        <v>157</v>
      </c>
      <c r="D269" s="5" t="s">
        <v>879</v>
      </c>
      <c r="E269" s="28">
        <f>1.747-0.291</f>
        <v>1.4560000000000002</v>
      </c>
    </row>
    <row r="270" spans="1:5" ht="34">
      <c r="A270" s="38" t="s">
        <v>958</v>
      </c>
      <c r="B270" s="2" t="s">
        <v>6</v>
      </c>
      <c r="C270" s="12" t="s">
        <v>157</v>
      </c>
      <c r="D270" s="5" t="s">
        <v>383</v>
      </c>
      <c r="E270" s="28">
        <f>1.97-0.328</f>
        <v>1.6419999999999999</v>
      </c>
    </row>
    <row r="271" spans="1:5" ht="34">
      <c r="A271" s="38" t="s">
        <v>958</v>
      </c>
      <c r="B271" s="2" t="s">
        <v>6</v>
      </c>
      <c r="C271" s="12" t="s">
        <v>157</v>
      </c>
      <c r="D271" s="5" t="s">
        <v>372</v>
      </c>
      <c r="E271" s="28">
        <f>0.084</f>
        <v>8.4000000000000005E-2</v>
      </c>
    </row>
    <row r="272" spans="1:5" ht="34">
      <c r="A272" s="38" t="s">
        <v>958</v>
      </c>
      <c r="B272" s="2" t="s">
        <v>6</v>
      </c>
      <c r="C272" s="12" t="s">
        <v>157</v>
      </c>
      <c r="D272" s="5" t="s">
        <v>373</v>
      </c>
      <c r="E272" s="28">
        <f>0.042</f>
        <v>4.2000000000000003E-2</v>
      </c>
    </row>
    <row r="273" spans="1:5" ht="34">
      <c r="A273" s="38" t="s">
        <v>958</v>
      </c>
      <c r="B273" s="2" t="s">
        <v>6</v>
      </c>
      <c r="C273" s="12" t="s">
        <v>157</v>
      </c>
      <c r="D273" s="5" t="s">
        <v>60</v>
      </c>
      <c r="E273" s="28">
        <f>8.568-2.142</f>
        <v>6.4260000000000002</v>
      </c>
    </row>
    <row r="274" spans="1:5" ht="34">
      <c r="A274" s="38" t="s">
        <v>958</v>
      </c>
      <c r="B274" s="2" t="s">
        <v>6</v>
      </c>
      <c r="C274" s="12" t="s">
        <v>157</v>
      </c>
      <c r="D274" s="5" t="s">
        <v>600</v>
      </c>
      <c r="E274" s="28">
        <f>2.54</f>
        <v>2.54</v>
      </c>
    </row>
    <row r="275" spans="1:5" ht="34">
      <c r="A275" s="38" t="s">
        <v>958</v>
      </c>
      <c r="B275" s="2" t="s">
        <v>6</v>
      </c>
      <c r="C275" s="12" t="s">
        <v>157</v>
      </c>
      <c r="D275" s="5" t="s">
        <v>679</v>
      </c>
      <c r="E275" s="28">
        <f>7.86-2.58-2.623-0.434-(0.039)-0.096-(0.012)-0.224</f>
        <v>1.8519999999999996</v>
      </c>
    </row>
    <row r="276" spans="1:5" ht="34">
      <c r="A276" s="38" t="s">
        <v>958</v>
      </c>
      <c r="B276" s="2" t="s">
        <v>6</v>
      </c>
      <c r="C276" s="12" t="s">
        <v>157</v>
      </c>
      <c r="D276" s="5" t="s">
        <v>498</v>
      </c>
      <c r="E276" s="28">
        <f>2.58-0.638-0.304-0.648-(0.004)-0.648-0.214-(0.004)</f>
        <v>0.12000000000000008</v>
      </c>
    </row>
    <row r="277" spans="1:5" ht="34">
      <c r="A277" s="38" t="s">
        <v>958</v>
      </c>
      <c r="B277" s="2" t="s">
        <v>6</v>
      </c>
      <c r="C277" s="12" t="s">
        <v>157</v>
      </c>
      <c r="D277" s="5" t="s">
        <v>290</v>
      </c>
      <c r="E277" s="28">
        <f>5.29-2.65</f>
        <v>2.64</v>
      </c>
    </row>
    <row r="278" spans="1:5" ht="34">
      <c r="A278" s="38" t="s">
        <v>958</v>
      </c>
      <c r="B278" s="2" t="s">
        <v>6</v>
      </c>
      <c r="C278" s="12" t="s">
        <v>454</v>
      </c>
      <c r="D278" s="5" t="s">
        <v>736</v>
      </c>
      <c r="E278" s="28">
        <f>3-0.192-(0.12)-0.362-(0.002)</f>
        <v>2.3239999999999998</v>
      </c>
    </row>
    <row r="279" spans="1:5" ht="34">
      <c r="A279" s="38" t="s">
        <v>958</v>
      </c>
      <c r="B279" s="2" t="s">
        <v>6</v>
      </c>
      <c r="C279" s="12" t="s">
        <v>157</v>
      </c>
      <c r="D279" s="5" t="s">
        <v>912</v>
      </c>
      <c r="E279" s="28">
        <f>2.53-1.4</f>
        <v>1.1299999999999999</v>
      </c>
    </row>
    <row r="280" spans="1:5" ht="34">
      <c r="A280" s="38" t="s">
        <v>958</v>
      </c>
      <c r="B280" s="2" t="s">
        <v>6</v>
      </c>
      <c r="C280" s="12" t="s">
        <v>157</v>
      </c>
      <c r="D280" s="5" t="s">
        <v>913</v>
      </c>
      <c r="E280" s="28">
        <f>3.38-1.15</f>
        <v>2.23</v>
      </c>
    </row>
    <row r="281" spans="1:5" ht="34">
      <c r="A281" s="38" t="s">
        <v>958</v>
      </c>
      <c r="B281" s="2" t="s">
        <v>6</v>
      </c>
      <c r="C281" s="12" t="s">
        <v>157</v>
      </c>
      <c r="D281" s="5" t="s">
        <v>584</v>
      </c>
      <c r="E281" s="28">
        <f>3.56-1.798-(0.088)-0.598-(0.008)-0.6-(0.002)-0.126-(0.002)</f>
        <v>0.33800000000000008</v>
      </c>
    </row>
    <row r="282" spans="1:5" ht="34">
      <c r="A282" s="38" t="s">
        <v>958</v>
      </c>
      <c r="B282" s="2" t="s">
        <v>6</v>
      </c>
      <c r="C282" s="12" t="s">
        <v>157</v>
      </c>
      <c r="D282" s="5" t="s">
        <v>260</v>
      </c>
      <c r="E282" s="28">
        <f>3.67</f>
        <v>3.67</v>
      </c>
    </row>
    <row r="283" spans="1:5" ht="34">
      <c r="A283" s="38" t="s">
        <v>958</v>
      </c>
      <c r="B283" s="2" t="s">
        <v>6</v>
      </c>
      <c r="C283" s="12" t="s">
        <v>157</v>
      </c>
      <c r="D283" s="5" t="s">
        <v>914</v>
      </c>
      <c r="E283" s="28">
        <f>4.59-0.57</f>
        <v>4.0199999999999996</v>
      </c>
    </row>
    <row r="284" spans="1:5" ht="34">
      <c r="A284" s="38" t="s">
        <v>958</v>
      </c>
      <c r="B284" s="2" t="s">
        <v>6</v>
      </c>
      <c r="C284" s="12" t="s">
        <v>157</v>
      </c>
      <c r="D284" s="5" t="s">
        <v>242</v>
      </c>
      <c r="E284" s="28">
        <f>4.41</f>
        <v>4.41</v>
      </c>
    </row>
    <row r="285" spans="1:5" ht="34">
      <c r="A285" s="38" t="s">
        <v>958</v>
      </c>
      <c r="B285" s="2" t="s">
        <v>6</v>
      </c>
      <c r="C285" s="5" t="s">
        <v>209</v>
      </c>
      <c r="D285" s="5" t="s">
        <v>370</v>
      </c>
      <c r="E285" s="28">
        <f>7.12-3.602</f>
        <v>3.5180000000000002</v>
      </c>
    </row>
    <row r="286" spans="1:5" ht="34">
      <c r="A286" s="38" t="s">
        <v>958</v>
      </c>
      <c r="B286" s="2" t="s">
        <v>6</v>
      </c>
      <c r="C286" s="5" t="s">
        <v>209</v>
      </c>
      <c r="D286" s="5" t="s">
        <v>839</v>
      </c>
      <c r="E286" s="28">
        <f>3.602-2.326-0.408-(0.018)</f>
        <v>0.84999999999999987</v>
      </c>
    </row>
    <row r="287" spans="1:5" ht="34">
      <c r="A287" s="38" t="s">
        <v>958</v>
      </c>
      <c r="B287" s="2" t="s">
        <v>6</v>
      </c>
      <c r="C287" s="5" t="s">
        <v>209</v>
      </c>
      <c r="D287" s="5" t="s">
        <v>472</v>
      </c>
      <c r="E287" s="28">
        <f>1.96-0.134-0.21-(0.036)-0.968-0.314-(0.004)</f>
        <v>0.29400000000000009</v>
      </c>
    </row>
    <row r="288" spans="1:5" ht="34">
      <c r="A288" s="38" t="s">
        <v>958</v>
      </c>
      <c r="B288" s="2" t="s">
        <v>6</v>
      </c>
      <c r="C288" s="5" t="s">
        <v>227</v>
      </c>
      <c r="D288" s="5" t="s">
        <v>915</v>
      </c>
      <c r="E288" s="28">
        <f>3.07-2.082-(0.074)-0.412-(0.006)-0.144</f>
        <v>0.35199999999999998</v>
      </c>
    </row>
    <row r="289" spans="1:5" ht="34">
      <c r="A289" s="38" t="s">
        <v>958</v>
      </c>
      <c r="B289" s="2" t="s">
        <v>6</v>
      </c>
      <c r="C289" s="5" t="s">
        <v>227</v>
      </c>
      <c r="D289" s="5" t="s">
        <v>807</v>
      </c>
      <c r="E289" s="28">
        <f>9.88-4.77-3.046-(0.316)</f>
        <v>1.7480000000000013</v>
      </c>
    </row>
    <row r="290" spans="1:5" ht="34">
      <c r="A290" s="38" t="s">
        <v>958</v>
      </c>
      <c r="B290" s="2" t="s">
        <v>6</v>
      </c>
      <c r="C290" s="5" t="s">
        <v>227</v>
      </c>
      <c r="D290" s="5" t="s">
        <v>328</v>
      </c>
      <c r="E290" s="28">
        <f>4.78-2.788-(0.018)-0.656-(0.004)-1.032-(0.006)</f>
        <v>0.27600000000000047</v>
      </c>
    </row>
    <row r="291" spans="1:5" ht="34">
      <c r="A291" s="38" t="s">
        <v>958</v>
      </c>
      <c r="B291" s="2" t="s">
        <v>6</v>
      </c>
      <c r="C291" s="5" t="s">
        <v>227</v>
      </c>
      <c r="D291" s="5" t="s">
        <v>567</v>
      </c>
      <c r="E291" s="28">
        <f>4.8-0.474+(0.022)-1.758-0.65</f>
        <v>1.94</v>
      </c>
    </row>
    <row r="292" spans="1:5" ht="34">
      <c r="A292" s="38" t="s">
        <v>958</v>
      </c>
      <c r="B292" s="2" t="s">
        <v>6</v>
      </c>
      <c r="C292" s="5" t="s">
        <v>227</v>
      </c>
      <c r="D292" s="5" t="s">
        <v>614</v>
      </c>
      <c r="E292" s="28">
        <f>4.91-0.47-(0.094)-2.792-(0.01)</f>
        <v>1.5440000000000003</v>
      </c>
    </row>
    <row r="293" spans="1:5" ht="34">
      <c r="A293" s="38" t="s">
        <v>958</v>
      </c>
      <c r="B293" s="2" t="s">
        <v>6</v>
      </c>
      <c r="C293" s="5" t="s">
        <v>227</v>
      </c>
      <c r="D293" s="5" t="s">
        <v>662</v>
      </c>
      <c r="E293" s="28">
        <f>4.75-2.808+(0.048)</f>
        <v>1.9900000000000002</v>
      </c>
    </row>
    <row r="294" spans="1:5" ht="34">
      <c r="A294" s="38" t="s">
        <v>958</v>
      </c>
      <c r="B294" s="2" t="s">
        <v>6</v>
      </c>
      <c r="C294" s="5" t="s">
        <v>227</v>
      </c>
      <c r="D294" s="5" t="s">
        <v>585</v>
      </c>
      <c r="E294" s="30">
        <f>4.8-1.782-(0.018)-0.498-(0.006)-0.6-(0.004)-0.97-(0.004)-0.506-(0.07)</f>
        <v>0.34199999999999992</v>
      </c>
    </row>
    <row r="295" spans="1:5" ht="34">
      <c r="A295" s="38" t="s">
        <v>958</v>
      </c>
      <c r="B295" s="2" t="s">
        <v>6</v>
      </c>
      <c r="C295" s="5" t="s">
        <v>227</v>
      </c>
      <c r="D295" s="5" t="s">
        <v>916</v>
      </c>
      <c r="E295" s="30">
        <f>9.53-4.798-0.366+(0.062)-3.016</f>
        <v>1.4119999999999999</v>
      </c>
    </row>
    <row r="296" spans="1:5" ht="34">
      <c r="A296" s="38" t="s">
        <v>958</v>
      </c>
      <c r="B296" s="2" t="s">
        <v>6</v>
      </c>
      <c r="C296" s="5" t="s">
        <v>227</v>
      </c>
      <c r="D296" s="5" t="s">
        <v>643</v>
      </c>
      <c r="E296" s="28">
        <f>4.78-0.758-3.176+(0.004)</f>
        <v>0.85000000000000009</v>
      </c>
    </row>
    <row r="297" spans="1:5" ht="34">
      <c r="A297" s="38" t="s">
        <v>958</v>
      </c>
      <c r="B297" s="2" t="s">
        <v>6</v>
      </c>
      <c r="C297" s="5" t="s">
        <v>227</v>
      </c>
      <c r="D297" s="5" t="s">
        <v>663</v>
      </c>
      <c r="E297" s="28">
        <f>6-3.088</f>
        <v>2.9119999999999999</v>
      </c>
    </row>
    <row r="298" spans="1:5" ht="34">
      <c r="A298" s="38" t="s">
        <v>958</v>
      </c>
      <c r="B298" s="2" t="s">
        <v>6</v>
      </c>
      <c r="C298" s="5" t="s">
        <v>227</v>
      </c>
      <c r="D298" s="5" t="s">
        <v>858</v>
      </c>
      <c r="E298" s="28">
        <f>2.88</f>
        <v>2.88</v>
      </c>
    </row>
    <row r="299" spans="1:5" ht="34">
      <c r="A299" s="38" t="s">
        <v>958</v>
      </c>
      <c r="B299" s="2" t="s">
        <v>6</v>
      </c>
      <c r="C299" s="5" t="s">
        <v>227</v>
      </c>
      <c r="D299" s="5" t="s">
        <v>663</v>
      </c>
      <c r="E299" s="28">
        <f>2.96</f>
        <v>2.96</v>
      </c>
    </row>
    <row r="300" spans="1:5" ht="34">
      <c r="A300" s="38" t="s">
        <v>958</v>
      </c>
      <c r="B300" s="2" t="s">
        <v>6</v>
      </c>
      <c r="C300" s="5" t="s">
        <v>209</v>
      </c>
      <c r="D300" s="5" t="s">
        <v>864</v>
      </c>
      <c r="E300" s="28">
        <f>9.19-3.06</f>
        <v>6.129999999999999</v>
      </c>
    </row>
    <row r="301" spans="1:5" ht="34">
      <c r="A301" s="38" t="s">
        <v>958</v>
      </c>
      <c r="B301" s="2" t="s">
        <v>6</v>
      </c>
      <c r="C301" s="5" t="s">
        <v>530</v>
      </c>
      <c r="D301" s="5" t="s">
        <v>531</v>
      </c>
      <c r="E301" s="28">
        <f>2.68</f>
        <v>2.68</v>
      </c>
    </row>
    <row r="302" spans="1:5" ht="34">
      <c r="A302" s="38" t="s">
        <v>958</v>
      </c>
      <c r="B302" s="2" t="s">
        <v>6</v>
      </c>
      <c r="C302" s="5" t="s">
        <v>530</v>
      </c>
      <c r="D302" s="5" t="s">
        <v>673</v>
      </c>
      <c r="E302" s="28">
        <f>2.766-2.028</f>
        <v>0.73799999999999999</v>
      </c>
    </row>
    <row r="303" spans="1:5" ht="34">
      <c r="A303" s="38" t="s">
        <v>958</v>
      </c>
      <c r="B303" s="2" t="s">
        <v>6</v>
      </c>
      <c r="C303" s="5" t="s">
        <v>530</v>
      </c>
      <c r="D303" s="5" t="s">
        <v>531</v>
      </c>
      <c r="E303" s="28">
        <f>2.63</f>
        <v>2.63</v>
      </c>
    </row>
    <row r="304" spans="1:5" ht="34">
      <c r="A304" s="38" t="s">
        <v>958</v>
      </c>
      <c r="B304" s="2" t="s">
        <v>6</v>
      </c>
      <c r="C304" s="5" t="s">
        <v>530</v>
      </c>
      <c r="D304" s="5" t="s">
        <v>754</v>
      </c>
      <c r="E304" s="28">
        <f>2.6</f>
        <v>2.6</v>
      </c>
    </row>
    <row r="305" spans="1:5" ht="34">
      <c r="A305" s="38" t="s">
        <v>958</v>
      </c>
      <c r="B305" s="2" t="s">
        <v>6</v>
      </c>
      <c r="C305" s="5" t="s">
        <v>300</v>
      </c>
      <c r="D305" s="5" t="s">
        <v>395</v>
      </c>
      <c r="E305" s="28">
        <f>4.56-0.988-0.978-(0.014)-1.284-(0.01)-0.358-0.506-(0.014)</f>
        <v>0.40799999999999959</v>
      </c>
    </row>
    <row r="306" spans="1:5" ht="34">
      <c r="A306" s="38" t="s">
        <v>958</v>
      </c>
      <c r="B306" s="2" t="s">
        <v>6</v>
      </c>
      <c r="C306" s="5" t="s">
        <v>530</v>
      </c>
      <c r="D306" s="5" t="s">
        <v>664</v>
      </c>
      <c r="E306" s="28">
        <f>2.89-0.614+(0.05)</f>
        <v>2.3260000000000001</v>
      </c>
    </row>
    <row r="307" spans="1:5" ht="34">
      <c r="A307" s="38" t="s">
        <v>958</v>
      </c>
      <c r="B307" s="2" t="s">
        <v>6</v>
      </c>
      <c r="C307" s="5" t="s">
        <v>530</v>
      </c>
      <c r="D307" s="5" t="s">
        <v>577</v>
      </c>
      <c r="E307" s="28">
        <f>2.71</f>
        <v>2.71</v>
      </c>
    </row>
    <row r="308" spans="1:5" ht="34">
      <c r="A308" s="38" t="s">
        <v>958</v>
      </c>
      <c r="B308" s="2" t="s">
        <v>6</v>
      </c>
      <c r="C308" s="5" t="s">
        <v>371</v>
      </c>
      <c r="D308" s="5" t="s">
        <v>629</v>
      </c>
      <c r="E308" s="28">
        <f>5-4.018+(0.048)</f>
        <v>1.0300000000000002</v>
      </c>
    </row>
    <row r="309" spans="1:5" ht="34">
      <c r="A309" s="38" t="s">
        <v>958</v>
      </c>
      <c r="B309" s="2" t="s">
        <v>6</v>
      </c>
      <c r="C309" s="5" t="s">
        <v>371</v>
      </c>
      <c r="D309" s="5" t="s">
        <v>740</v>
      </c>
      <c r="E309" s="28">
        <f>2.93</f>
        <v>2.93</v>
      </c>
    </row>
    <row r="310" spans="1:5" ht="34">
      <c r="A310" s="38" t="s">
        <v>958</v>
      </c>
      <c r="B310" s="1" t="s">
        <v>16</v>
      </c>
      <c r="C310" s="2" t="s">
        <v>12</v>
      </c>
      <c r="D310" s="16" t="s">
        <v>639</v>
      </c>
      <c r="E310" s="25">
        <f>2.556-0.85-0.854-0.21-(0.012)-0.088</f>
        <v>0.54200000000000004</v>
      </c>
    </row>
    <row r="311" spans="1:5" ht="34">
      <c r="A311" s="38" t="s">
        <v>958</v>
      </c>
      <c r="B311" s="1" t="s">
        <v>16</v>
      </c>
      <c r="C311" s="2" t="s">
        <v>12</v>
      </c>
      <c r="D311" s="16" t="s">
        <v>797</v>
      </c>
      <c r="E311" s="25">
        <f>0.834-0.696-0.071</f>
        <v>6.7000000000000018E-2</v>
      </c>
    </row>
    <row r="312" spans="1:5" ht="34">
      <c r="A312" s="38" t="s">
        <v>958</v>
      </c>
      <c r="B312" s="1" t="s">
        <v>16</v>
      </c>
      <c r="C312" s="2" t="s">
        <v>12</v>
      </c>
      <c r="D312" s="16" t="s">
        <v>364</v>
      </c>
      <c r="E312" s="25">
        <f>1.028</f>
        <v>1.028</v>
      </c>
    </row>
    <row r="313" spans="1:5" ht="34">
      <c r="A313" s="38" t="s">
        <v>958</v>
      </c>
      <c r="B313" s="1" t="s">
        <v>16</v>
      </c>
      <c r="C313" s="2" t="s">
        <v>12</v>
      </c>
      <c r="D313" s="16" t="s">
        <v>68</v>
      </c>
      <c r="E313" s="25">
        <f>2.982-0.993-0.978</f>
        <v>1.0110000000000003</v>
      </c>
    </row>
    <row r="314" spans="1:5" ht="34">
      <c r="A314" s="38" t="s">
        <v>958</v>
      </c>
      <c r="B314" s="1" t="s">
        <v>16</v>
      </c>
      <c r="C314" s="2" t="s">
        <v>12</v>
      </c>
      <c r="D314" s="16" t="s">
        <v>365</v>
      </c>
      <c r="E314" s="25">
        <f>0.978-0.568</f>
        <v>0.41000000000000003</v>
      </c>
    </row>
    <row r="315" spans="1:5" ht="34">
      <c r="A315" s="38" t="s">
        <v>958</v>
      </c>
      <c r="B315" s="1" t="s">
        <v>16</v>
      </c>
      <c r="C315" s="2" t="s">
        <v>12</v>
      </c>
      <c r="D315" s="16" t="s">
        <v>68</v>
      </c>
      <c r="E315" s="25">
        <f>4.97</f>
        <v>4.97</v>
      </c>
    </row>
    <row r="316" spans="1:5" ht="34">
      <c r="A316" s="38" t="s">
        <v>958</v>
      </c>
      <c r="B316" s="1" t="s">
        <v>16</v>
      </c>
      <c r="C316" s="2" t="s">
        <v>141</v>
      </c>
      <c r="D316" s="16" t="s">
        <v>447</v>
      </c>
      <c r="E316" s="25">
        <f>1.134-0.282-0.05-(0.002)-0.05-0.273-(0.009)-0.078-(0.002)-0.156</f>
        <v>0.23199999999999973</v>
      </c>
    </row>
    <row r="317" spans="1:5" ht="34">
      <c r="A317" s="38" t="s">
        <v>958</v>
      </c>
      <c r="B317" s="12" t="s">
        <v>16</v>
      </c>
      <c r="C317" s="12" t="s">
        <v>141</v>
      </c>
      <c r="D317" s="11" t="s">
        <v>331</v>
      </c>
      <c r="E317" s="25">
        <f>1.126-0.094-0.526-0.19-0.048-(0.002)-0.048-0.096</f>
        <v>0.1219999999999998</v>
      </c>
    </row>
    <row r="318" spans="1:5" ht="34">
      <c r="A318" s="38" t="s">
        <v>958</v>
      </c>
      <c r="B318" s="1" t="s">
        <v>16</v>
      </c>
      <c r="C318" s="2" t="s">
        <v>141</v>
      </c>
      <c r="D318" s="16" t="s">
        <v>30</v>
      </c>
      <c r="E318" s="25">
        <f>3.411-1.124-1.131</f>
        <v>1.1559999999999999</v>
      </c>
    </row>
    <row r="319" spans="1:5" ht="34">
      <c r="A319" s="38" t="s">
        <v>958</v>
      </c>
      <c r="B319" s="1" t="s">
        <v>16</v>
      </c>
      <c r="C319" s="2" t="s">
        <v>141</v>
      </c>
      <c r="D319" s="16" t="s">
        <v>640</v>
      </c>
      <c r="E319" s="25">
        <f>1.124-0.172</f>
        <v>0.95200000000000018</v>
      </c>
    </row>
    <row r="320" spans="1:5" ht="34">
      <c r="A320" s="38" t="s">
        <v>958</v>
      </c>
      <c r="B320" s="1" t="s">
        <v>16</v>
      </c>
      <c r="C320" s="2" t="s">
        <v>141</v>
      </c>
      <c r="D320" s="16" t="s">
        <v>508</v>
      </c>
      <c r="E320" s="25">
        <f>3.032-1.516</f>
        <v>1.516</v>
      </c>
    </row>
    <row r="321" spans="1:5" ht="34">
      <c r="A321" s="38" t="s">
        <v>958</v>
      </c>
      <c r="B321" s="1" t="s">
        <v>16</v>
      </c>
      <c r="C321" s="2" t="s">
        <v>141</v>
      </c>
      <c r="D321" s="16" t="s">
        <v>927</v>
      </c>
      <c r="E321" s="25">
        <f>1.516-1.06</f>
        <v>0.45599999999999996</v>
      </c>
    </row>
    <row r="322" spans="1:5" ht="34">
      <c r="A322" s="38" t="s">
        <v>958</v>
      </c>
      <c r="B322" s="12" t="s">
        <v>16</v>
      </c>
      <c r="C322" s="12" t="s">
        <v>141</v>
      </c>
      <c r="D322" s="11" t="s">
        <v>464</v>
      </c>
      <c r="E322" s="25">
        <f>2.856-1.428-0.214-0.16-(0.016)-0.596-0.07-0.052-0.234-(0.002)-0.007-(0.011)</f>
        <v>6.6000000000000045E-2</v>
      </c>
    </row>
    <row r="323" spans="1:5" ht="34">
      <c r="A323" s="38" t="s">
        <v>958</v>
      </c>
      <c r="B323" s="1" t="s">
        <v>16</v>
      </c>
      <c r="C323" s="2" t="s">
        <v>141</v>
      </c>
      <c r="D323" s="16" t="s">
        <v>711</v>
      </c>
      <c r="E323" s="25">
        <f>0.052-0.022-0.008</f>
        <v>2.1999999999999999E-2</v>
      </c>
    </row>
    <row r="324" spans="1:5" ht="34">
      <c r="A324" s="38" t="s">
        <v>958</v>
      </c>
      <c r="B324" s="12" t="s">
        <v>16</v>
      </c>
      <c r="C324" s="12" t="s">
        <v>141</v>
      </c>
      <c r="D324" s="11" t="s">
        <v>762</v>
      </c>
      <c r="E324" s="25">
        <f>1.394-0.14-0.038-0.934-(0.002)</f>
        <v>0.27999999999999992</v>
      </c>
    </row>
    <row r="325" spans="1:5" ht="34">
      <c r="A325" s="38" t="s">
        <v>958</v>
      </c>
      <c r="B325" s="12" t="s">
        <v>16</v>
      </c>
      <c r="C325" s="12" t="s">
        <v>141</v>
      </c>
      <c r="D325" s="11" t="s">
        <v>928</v>
      </c>
      <c r="E325" s="25">
        <f>1.39-0.694-0.312</f>
        <v>0.38399999999999995</v>
      </c>
    </row>
    <row r="326" spans="1:5" ht="34">
      <c r="A326" s="38" t="s">
        <v>958</v>
      </c>
      <c r="B326" s="12" t="s">
        <v>16</v>
      </c>
      <c r="C326" s="12" t="s">
        <v>141</v>
      </c>
      <c r="D326" s="11" t="s">
        <v>37</v>
      </c>
      <c r="E326" s="25">
        <f>2.856-1.42</f>
        <v>1.4359999999999999</v>
      </c>
    </row>
    <row r="327" spans="1:5" ht="34">
      <c r="A327" s="38" t="s">
        <v>958</v>
      </c>
      <c r="B327" s="1" t="s">
        <v>16</v>
      </c>
      <c r="C327" s="2" t="s">
        <v>12</v>
      </c>
      <c r="D327" s="16" t="s">
        <v>597</v>
      </c>
      <c r="E327" s="26">
        <f>1.785-0.456-0.031-0.296-0.298-0.002-0.294-0.044-0.002-0.132-0.046-0.034-0.046-0.024-(0.002)</f>
        <v>7.7999999999999986E-2</v>
      </c>
    </row>
    <row r="328" spans="1:5" ht="34">
      <c r="A328" s="38" t="s">
        <v>958</v>
      </c>
      <c r="B328" s="1" t="s">
        <v>16</v>
      </c>
      <c r="C328" s="2" t="s">
        <v>141</v>
      </c>
      <c r="D328" s="16" t="s">
        <v>557</v>
      </c>
      <c r="E328" s="25">
        <f>1.754-0.078-0.262-(0.004)-0.41-(0.004)-0.711</f>
        <v>0.28500000000000003</v>
      </c>
    </row>
    <row r="329" spans="1:5" ht="34">
      <c r="A329" s="38" t="s">
        <v>958</v>
      </c>
      <c r="B329" s="1" t="s">
        <v>16</v>
      </c>
      <c r="C329" s="2" t="s">
        <v>141</v>
      </c>
      <c r="D329" s="16" t="s">
        <v>296</v>
      </c>
      <c r="E329" s="25">
        <f>3.57-1.766-0.898</f>
        <v>0.90599999999999981</v>
      </c>
    </row>
    <row r="330" spans="1:5" ht="34">
      <c r="A330" s="38" t="s">
        <v>958</v>
      </c>
      <c r="B330" s="1" t="s">
        <v>16</v>
      </c>
      <c r="C330" s="2" t="s">
        <v>141</v>
      </c>
      <c r="D330" s="16" t="s">
        <v>296</v>
      </c>
      <c r="E330" s="25">
        <f>1.766-0.881</f>
        <v>0.88500000000000001</v>
      </c>
    </row>
    <row r="331" spans="1:5" ht="34">
      <c r="A331" s="38" t="s">
        <v>958</v>
      </c>
      <c r="B331" s="1" t="s">
        <v>16</v>
      </c>
      <c r="C331" s="2" t="s">
        <v>141</v>
      </c>
      <c r="D331" s="16" t="s">
        <v>461</v>
      </c>
      <c r="E331" s="25">
        <f>2.142-0.322-0.24-(0.036)-0.108-0.08-(0.002)-1.058-(0.004)-0.044-0.024-0.044-0.054-(0.016)</f>
        <v>0.10999999999999961</v>
      </c>
    </row>
    <row r="332" spans="1:5" ht="34">
      <c r="A332" s="38" t="s">
        <v>958</v>
      </c>
      <c r="B332" s="1" t="s">
        <v>16</v>
      </c>
      <c r="C332" s="2" t="s">
        <v>141</v>
      </c>
      <c r="D332" s="16" t="s">
        <v>460</v>
      </c>
      <c r="E332" s="25">
        <f>0.054</f>
        <v>5.3999999999999999E-2</v>
      </c>
    </row>
    <row r="333" spans="1:5" ht="34">
      <c r="A333" s="38" t="s">
        <v>958</v>
      </c>
      <c r="B333" s="1" t="s">
        <v>16</v>
      </c>
      <c r="C333" s="2" t="s">
        <v>141</v>
      </c>
      <c r="D333" s="16" t="s">
        <v>578</v>
      </c>
      <c r="E333" s="25">
        <f>2.11-1.05-0.396-(0.004)-0.144-0.288-(0.004)-0.068-(0.012)</f>
        <v>0.14399999999999979</v>
      </c>
    </row>
    <row r="334" spans="1:5" ht="34">
      <c r="A334" s="38" t="s">
        <v>958</v>
      </c>
      <c r="B334" s="1" t="s">
        <v>16</v>
      </c>
      <c r="C334" s="2" t="s">
        <v>141</v>
      </c>
      <c r="D334" s="16" t="s">
        <v>546</v>
      </c>
      <c r="E334" s="25">
        <f>0.2-0.026-0.066</f>
        <v>0.10800000000000001</v>
      </c>
    </row>
    <row r="335" spans="1:5" ht="34">
      <c r="A335" s="38" t="s">
        <v>958</v>
      </c>
      <c r="B335" s="1" t="s">
        <v>16</v>
      </c>
      <c r="C335" s="2" t="s">
        <v>141</v>
      </c>
      <c r="D335" s="16" t="s">
        <v>721</v>
      </c>
      <c r="E335" s="25">
        <f>2.093-1.054-0.178-(0.007)-0.524-(0.008)-0.046-0.014-0.032-(0.012)</f>
        <v>0.21799999999999994</v>
      </c>
    </row>
    <row r="336" spans="1:5" ht="34">
      <c r="A336" s="38" t="s">
        <v>958</v>
      </c>
      <c r="B336" s="1" t="s">
        <v>16</v>
      </c>
      <c r="C336" s="2" t="s">
        <v>529</v>
      </c>
      <c r="D336" s="16" t="s">
        <v>774</v>
      </c>
      <c r="E336" s="25">
        <f>4.284-2.142-1.412-(0.032)-0.18</f>
        <v>0.51800000000000002</v>
      </c>
    </row>
    <row r="337" spans="1:5" ht="34">
      <c r="A337" s="38" t="s">
        <v>958</v>
      </c>
      <c r="B337" s="1" t="s">
        <v>16</v>
      </c>
      <c r="C337" s="2" t="s">
        <v>141</v>
      </c>
      <c r="D337" s="16" t="s">
        <v>60</v>
      </c>
      <c r="E337" s="25">
        <f>4.284</f>
        <v>4.2839999999999998</v>
      </c>
    </row>
    <row r="338" spans="1:5" ht="34">
      <c r="A338" s="38" t="s">
        <v>958</v>
      </c>
      <c r="B338" s="1" t="s">
        <v>16</v>
      </c>
      <c r="C338" s="2" t="s">
        <v>141</v>
      </c>
      <c r="D338" s="16" t="s">
        <v>929</v>
      </c>
      <c r="E338" s="25">
        <f>2.69-1.27</f>
        <v>1.42</v>
      </c>
    </row>
    <row r="339" spans="1:5" ht="34">
      <c r="A339" s="38" t="s">
        <v>958</v>
      </c>
      <c r="B339" s="1" t="s">
        <v>16</v>
      </c>
      <c r="C339" s="2" t="s">
        <v>141</v>
      </c>
      <c r="D339" s="16" t="s">
        <v>290</v>
      </c>
      <c r="E339" s="25">
        <f>5.34</f>
        <v>5.34</v>
      </c>
    </row>
    <row r="340" spans="1:5" ht="34">
      <c r="A340" s="38" t="s">
        <v>958</v>
      </c>
      <c r="B340" s="1" t="s">
        <v>16</v>
      </c>
      <c r="C340" s="2" t="s">
        <v>141</v>
      </c>
      <c r="D340" s="16" t="s">
        <v>468</v>
      </c>
      <c r="E340" s="25">
        <f>2.994-0.248-0.198-1.496-(0.018)-0.404-(0.01)-0.052-0.038-(0.002)-0.198-0.218-(0.02)</f>
        <v>9.2000000000000345E-2</v>
      </c>
    </row>
    <row r="341" spans="1:5" ht="34">
      <c r="A341" s="38" t="s">
        <v>958</v>
      </c>
      <c r="B341" s="1" t="s">
        <v>16</v>
      </c>
      <c r="C341" s="2" t="s">
        <v>141</v>
      </c>
      <c r="D341" s="16" t="s">
        <v>462</v>
      </c>
      <c r="E341" s="25">
        <f>0.038</f>
        <v>3.7999999999999999E-2</v>
      </c>
    </row>
    <row r="342" spans="1:5" ht="34">
      <c r="A342" s="38" t="s">
        <v>958</v>
      </c>
      <c r="B342" s="1" t="s">
        <v>16</v>
      </c>
      <c r="C342" s="2" t="s">
        <v>414</v>
      </c>
      <c r="D342" s="16" t="s">
        <v>273</v>
      </c>
      <c r="E342" s="25">
        <f>5.86-2.894-(0.036)</f>
        <v>2.93</v>
      </c>
    </row>
    <row r="343" spans="1:5" ht="34">
      <c r="A343" s="38" t="s">
        <v>958</v>
      </c>
      <c r="B343" s="1" t="s">
        <v>16</v>
      </c>
      <c r="C343" s="2" t="s">
        <v>414</v>
      </c>
      <c r="D343" s="16" t="s">
        <v>930</v>
      </c>
      <c r="E343" s="25">
        <f>2.894-0.24-1.452-0.106-0.056-(0.016)-0.52</f>
        <v>0.50399999999999978</v>
      </c>
    </row>
    <row r="344" spans="1:5" ht="34">
      <c r="A344" s="38" t="s">
        <v>958</v>
      </c>
      <c r="B344" s="1" t="s">
        <v>16</v>
      </c>
      <c r="C344" s="2" t="s">
        <v>414</v>
      </c>
      <c r="D344" s="16" t="s">
        <v>875</v>
      </c>
      <c r="E344" s="25">
        <f>2.97-1.448-(0.068)</f>
        <v>1.4540000000000002</v>
      </c>
    </row>
    <row r="345" spans="1:5" ht="34">
      <c r="A345" s="38" t="s">
        <v>958</v>
      </c>
      <c r="B345" s="1" t="s">
        <v>16</v>
      </c>
      <c r="C345" s="2" t="s">
        <v>414</v>
      </c>
      <c r="D345" s="16" t="s">
        <v>273</v>
      </c>
      <c r="E345" s="25">
        <f>2.94</f>
        <v>2.94</v>
      </c>
    </row>
    <row r="346" spans="1:5" ht="34">
      <c r="A346" s="38" t="s">
        <v>958</v>
      </c>
      <c r="B346" s="1" t="s">
        <v>16</v>
      </c>
      <c r="C346" s="2" t="s">
        <v>141</v>
      </c>
      <c r="D346" s="16" t="s">
        <v>439</v>
      </c>
      <c r="E346" s="25">
        <f>3.212-2.116-(0.02)-0.374-(0.004)-0.204-(0.014)</f>
        <v>0.48000000000000009</v>
      </c>
    </row>
    <row r="347" spans="1:5" ht="34">
      <c r="A347" s="38" t="s">
        <v>958</v>
      </c>
      <c r="B347" s="1" t="s">
        <v>16</v>
      </c>
      <c r="C347" s="2" t="s">
        <v>141</v>
      </c>
      <c r="D347" s="16" t="s">
        <v>789</v>
      </c>
      <c r="E347" s="25">
        <f>3.212-0.45-0.198-(0.054)</f>
        <v>2.5100000000000002</v>
      </c>
    </row>
    <row r="348" spans="1:5" ht="34">
      <c r="A348" s="38" t="s">
        <v>958</v>
      </c>
      <c r="B348" s="1" t="s">
        <v>16</v>
      </c>
      <c r="C348" s="2" t="s">
        <v>414</v>
      </c>
      <c r="D348" s="16" t="s">
        <v>280</v>
      </c>
      <c r="E348" s="25">
        <f>3.31</f>
        <v>3.31</v>
      </c>
    </row>
    <row r="349" spans="1:5" ht="34">
      <c r="A349" s="38" t="s">
        <v>958</v>
      </c>
      <c r="B349" s="1" t="s">
        <v>16</v>
      </c>
      <c r="C349" s="2" t="s">
        <v>141</v>
      </c>
      <c r="D349" s="16" t="s">
        <v>474</v>
      </c>
      <c r="E349" s="25">
        <f>0.06-0.032</f>
        <v>2.7999999999999997E-2</v>
      </c>
    </row>
    <row r="350" spans="1:5" ht="34">
      <c r="A350" s="38" t="s">
        <v>958</v>
      </c>
      <c r="B350" s="1" t="s">
        <v>16</v>
      </c>
      <c r="C350" s="2" t="s">
        <v>141</v>
      </c>
      <c r="D350" s="16" t="s">
        <v>475</v>
      </c>
      <c r="E350" s="25">
        <f>0.06-0.032-(0.004)</f>
        <v>2.3999999999999997E-2</v>
      </c>
    </row>
    <row r="351" spans="1:5" ht="34">
      <c r="A351" s="38" t="s">
        <v>958</v>
      </c>
      <c r="B351" s="1" t="s">
        <v>16</v>
      </c>
      <c r="C351" s="2" t="s">
        <v>141</v>
      </c>
      <c r="D351" s="16" t="s">
        <v>353</v>
      </c>
      <c r="E351" s="25">
        <f>0.028</f>
        <v>2.8000000000000001E-2</v>
      </c>
    </row>
    <row r="352" spans="1:5" ht="34">
      <c r="A352" s="38" t="s">
        <v>958</v>
      </c>
      <c r="B352" s="1" t="s">
        <v>16</v>
      </c>
      <c r="C352" s="2" t="s">
        <v>141</v>
      </c>
      <c r="D352" s="16" t="s">
        <v>579</v>
      </c>
      <c r="E352" s="25">
        <f>0.068-0.026</f>
        <v>4.200000000000001E-2</v>
      </c>
    </row>
    <row r="353" spans="1:5" ht="34">
      <c r="A353" s="38" t="s">
        <v>958</v>
      </c>
      <c r="B353" s="1" t="s">
        <v>16</v>
      </c>
      <c r="C353" s="2" t="s">
        <v>141</v>
      </c>
      <c r="D353" s="16" t="s">
        <v>408</v>
      </c>
      <c r="E353" s="25">
        <f>0.046</f>
        <v>4.5999999999999999E-2</v>
      </c>
    </row>
    <row r="354" spans="1:5" ht="34">
      <c r="A354" s="38" t="s">
        <v>958</v>
      </c>
      <c r="B354" s="1" t="s">
        <v>16</v>
      </c>
      <c r="C354" s="2" t="s">
        <v>414</v>
      </c>
      <c r="D354" s="16" t="s">
        <v>931</v>
      </c>
      <c r="E354" s="25">
        <f>3.652-0.918-1.76</f>
        <v>0.97399999999999998</v>
      </c>
    </row>
    <row r="355" spans="1:5" ht="34">
      <c r="A355" s="38" t="s">
        <v>958</v>
      </c>
      <c r="B355" s="1" t="s">
        <v>16</v>
      </c>
      <c r="C355" s="2" t="s">
        <v>414</v>
      </c>
      <c r="D355" s="16" t="s">
        <v>763</v>
      </c>
      <c r="E355" s="25">
        <f>7.35-3.695-1.86-1.236+(0.041)</f>
        <v>0.59999999999999976</v>
      </c>
    </row>
    <row r="356" spans="1:5" ht="34">
      <c r="A356" s="38" t="s">
        <v>958</v>
      </c>
      <c r="B356" s="1" t="s">
        <v>16</v>
      </c>
      <c r="C356" s="2" t="s">
        <v>414</v>
      </c>
      <c r="D356" s="16" t="s">
        <v>260</v>
      </c>
      <c r="E356" s="25">
        <f>3.79</f>
        <v>3.79</v>
      </c>
    </row>
    <row r="357" spans="1:5" ht="34">
      <c r="A357" s="38" t="s">
        <v>958</v>
      </c>
      <c r="B357" s="1" t="s">
        <v>16</v>
      </c>
      <c r="C357" s="2" t="s">
        <v>414</v>
      </c>
      <c r="D357" s="16" t="s">
        <v>260</v>
      </c>
      <c r="E357" s="25">
        <f>3.79</f>
        <v>3.79</v>
      </c>
    </row>
    <row r="358" spans="1:5" ht="34">
      <c r="A358" s="38" t="s">
        <v>958</v>
      </c>
      <c r="B358" s="1" t="s">
        <v>16</v>
      </c>
      <c r="C358" s="2" t="s">
        <v>141</v>
      </c>
      <c r="D358" s="16" t="s">
        <v>860</v>
      </c>
      <c r="E358" s="25">
        <f>8.89-4.498-1.716-1.488+(0.084)-0.02-0.136-0.264-0.244</f>
        <v>0.6080000000000001</v>
      </c>
    </row>
    <row r="359" spans="1:5" ht="34">
      <c r="A359" s="38" t="s">
        <v>958</v>
      </c>
      <c r="B359" s="1" t="s">
        <v>16</v>
      </c>
      <c r="C359" s="2" t="s">
        <v>141</v>
      </c>
      <c r="D359" s="16" t="s">
        <v>391</v>
      </c>
      <c r="E359" s="25">
        <f>0.136</f>
        <v>0.13600000000000001</v>
      </c>
    </row>
    <row r="360" spans="1:5" ht="34">
      <c r="A360" s="38" t="s">
        <v>958</v>
      </c>
      <c r="B360" s="1" t="s">
        <v>16</v>
      </c>
      <c r="C360" s="2" t="s">
        <v>141</v>
      </c>
      <c r="D360" s="16" t="s">
        <v>891</v>
      </c>
      <c r="E360" s="25">
        <f>4.516-1.506-1.169-(0.029)-0.308-0.39-0.042-0.026-(0.022)</f>
        <v>1.0239999999999998</v>
      </c>
    </row>
    <row r="361" spans="1:5" ht="34">
      <c r="A361" s="38" t="s">
        <v>958</v>
      </c>
      <c r="B361" s="1" t="s">
        <v>16</v>
      </c>
      <c r="C361" s="2" t="s">
        <v>141</v>
      </c>
      <c r="D361" s="16" t="s">
        <v>610</v>
      </c>
      <c r="E361" s="25">
        <f>0.308-0.096-0.11</f>
        <v>0.10199999999999999</v>
      </c>
    </row>
    <row r="362" spans="1:5" ht="34">
      <c r="A362" s="38" t="s">
        <v>958</v>
      </c>
      <c r="B362" s="1" t="s">
        <v>16</v>
      </c>
      <c r="C362" s="2" t="s">
        <v>141</v>
      </c>
      <c r="D362" s="16" t="s">
        <v>932</v>
      </c>
      <c r="E362" s="25">
        <f>4.55-2.11</f>
        <v>2.44</v>
      </c>
    </row>
    <row r="363" spans="1:5" ht="34">
      <c r="A363" s="38" t="s">
        <v>958</v>
      </c>
      <c r="B363" s="1" t="s">
        <v>16</v>
      </c>
      <c r="C363" s="2" t="s">
        <v>141</v>
      </c>
      <c r="D363" s="15" t="s">
        <v>592</v>
      </c>
      <c r="E363" s="31">
        <f>2.916-0.856-0.358-(0.002)-1.062-0.03-(0.032)-0.008-(0.012)-0.312-0.006</f>
        <v>0.23799999999999982</v>
      </c>
    </row>
    <row r="364" spans="1:5" ht="34">
      <c r="A364" s="38" t="s">
        <v>958</v>
      </c>
      <c r="B364" s="1" t="s">
        <v>16</v>
      </c>
      <c r="C364" s="2" t="s">
        <v>141</v>
      </c>
      <c r="D364" s="15" t="s">
        <v>700</v>
      </c>
      <c r="E364" s="31">
        <f>5.238-0.442-3.478-(0.002)-0.878-(0.004)-0.134-(0.02)</f>
        <v>0.28000000000000003</v>
      </c>
    </row>
    <row r="365" spans="1:5" ht="34">
      <c r="A365" s="38" t="s">
        <v>958</v>
      </c>
      <c r="B365" s="1" t="s">
        <v>16</v>
      </c>
      <c r="C365" s="2" t="s">
        <v>141</v>
      </c>
      <c r="D365" s="15" t="s">
        <v>341</v>
      </c>
      <c r="E365" s="31">
        <f>0.022</f>
        <v>2.1999999999999999E-2</v>
      </c>
    </row>
    <row r="366" spans="1:5" ht="34">
      <c r="A366" s="38" t="s">
        <v>958</v>
      </c>
      <c r="B366" s="1" t="s">
        <v>16</v>
      </c>
      <c r="C366" s="2" t="s">
        <v>141</v>
      </c>
      <c r="D366" s="15" t="s">
        <v>342</v>
      </c>
      <c r="E366" s="31">
        <f>0.08</f>
        <v>0.08</v>
      </c>
    </row>
    <row r="367" spans="1:5" ht="34">
      <c r="A367" s="38" t="s">
        <v>958</v>
      </c>
      <c r="B367" s="1" t="s">
        <v>16</v>
      </c>
      <c r="C367" s="2" t="s">
        <v>141</v>
      </c>
      <c r="D367" s="15" t="s">
        <v>313</v>
      </c>
      <c r="E367" s="31">
        <f>5.865-1.966+(0.053)-0.2-1.476-1.98</f>
        <v>0.29599999999999982</v>
      </c>
    </row>
    <row r="368" spans="1:5" ht="34">
      <c r="A368" s="38" t="s">
        <v>958</v>
      </c>
      <c r="B368" s="1" t="s">
        <v>16</v>
      </c>
      <c r="C368" s="2" t="s">
        <v>141</v>
      </c>
      <c r="D368" s="15" t="s">
        <v>336</v>
      </c>
      <c r="E368" s="31">
        <f>2.89-1.152-0.544+0.062-0.592</f>
        <v>0.66400000000000026</v>
      </c>
    </row>
    <row r="369" spans="1:5" ht="34">
      <c r="A369" s="38" t="s">
        <v>958</v>
      </c>
      <c r="B369" s="1" t="s">
        <v>16</v>
      </c>
      <c r="C369" s="2" t="s">
        <v>235</v>
      </c>
      <c r="D369" s="5" t="s">
        <v>251</v>
      </c>
      <c r="E369" s="28">
        <f>0.29</f>
        <v>0.28999999999999998</v>
      </c>
    </row>
    <row r="370" spans="1:5" ht="34">
      <c r="A370" s="38" t="s">
        <v>958</v>
      </c>
      <c r="B370" s="1" t="s">
        <v>16</v>
      </c>
      <c r="C370" s="2" t="s">
        <v>141</v>
      </c>
      <c r="D370" s="15" t="s">
        <v>892</v>
      </c>
      <c r="E370" s="31">
        <f>6.726-0.576-1.422-(0.003)-0.458-(0.057)-0.574-(0.01)-0.08-0.014-(0.002)</f>
        <v>3.5300000000000007</v>
      </c>
    </row>
    <row r="371" spans="1:5" ht="34">
      <c r="A371" s="38" t="s">
        <v>958</v>
      </c>
      <c r="B371" s="1" t="s">
        <v>16</v>
      </c>
      <c r="C371" s="2" t="s">
        <v>367</v>
      </c>
      <c r="D371" s="15" t="s">
        <v>544</v>
      </c>
      <c r="E371" s="31">
        <f>19.56-4.902-4.888-4.858-3.446-(0.008)-0.738-(0.006)</f>
        <v>0.71399999999999797</v>
      </c>
    </row>
    <row r="372" spans="1:5" ht="34">
      <c r="A372" s="38" t="s">
        <v>958</v>
      </c>
      <c r="B372" s="1" t="s">
        <v>16</v>
      </c>
      <c r="C372" s="2" t="s">
        <v>367</v>
      </c>
      <c r="D372" s="15" t="s">
        <v>398</v>
      </c>
      <c r="E372" s="31">
        <f>4.888-0.6-1.384-2.512-(0.002)</f>
        <v>0.39000000000000035</v>
      </c>
    </row>
    <row r="373" spans="1:5" ht="34">
      <c r="A373" s="38" t="s">
        <v>958</v>
      </c>
      <c r="B373" s="1" t="s">
        <v>16</v>
      </c>
      <c r="C373" s="2" t="s">
        <v>367</v>
      </c>
      <c r="D373" s="15" t="s">
        <v>607</v>
      </c>
      <c r="E373" s="31">
        <f>4.858-1.016-0.624-(0.012)-1.874-(0.01)-0.632-(0.002)</f>
        <v>0.68799999999999939</v>
      </c>
    </row>
    <row r="374" spans="1:5" ht="34">
      <c r="A374" s="38" t="s">
        <v>958</v>
      </c>
      <c r="B374" s="1" t="s">
        <v>16</v>
      </c>
      <c r="C374" s="2" t="s">
        <v>367</v>
      </c>
      <c r="D374" s="15" t="s">
        <v>435</v>
      </c>
      <c r="E374" s="31">
        <f>9.45-4.725</f>
        <v>4.7249999999999996</v>
      </c>
    </row>
    <row r="375" spans="1:5" ht="34">
      <c r="A375" s="38" t="s">
        <v>958</v>
      </c>
      <c r="B375" s="1" t="s">
        <v>16</v>
      </c>
      <c r="C375" s="2" t="s">
        <v>367</v>
      </c>
      <c r="D375" s="15" t="s">
        <v>764</v>
      </c>
      <c r="E375" s="31">
        <f>4.725-2.508+(0.009)</f>
        <v>2.2259999999999995</v>
      </c>
    </row>
    <row r="376" spans="1:5" ht="34">
      <c r="A376" s="38" t="s">
        <v>958</v>
      </c>
      <c r="B376" s="1" t="s">
        <v>16</v>
      </c>
      <c r="C376" s="2" t="s">
        <v>367</v>
      </c>
      <c r="D376" s="15" t="s">
        <v>856</v>
      </c>
      <c r="E376" s="31">
        <f>4.6</f>
        <v>4.5999999999999996</v>
      </c>
    </row>
    <row r="377" spans="1:5" ht="34">
      <c r="A377" s="38" t="s">
        <v>958</v>
      </c>
      <c r="B377" s="1" t="s">
        <v>16</v>
      </c>
      <c r="C377" s="2" t="s">
        <v>141</v>
      </c>
      <c r="D377" s="15" t="s">
        <v>480</v>
      </c>
      <c r="E377" s="31">
        <f>17.772-8.886</f>
        <v>8.8859999999999992</v>
      </c>
    </row>
    <row r="378" spans="1:5" ht="34">
      <c r="A378" s="38" t="s">
        <v>958</v>
      </c>
      <c r="B378" s="1" t="s">
        <v>16</v>
      </c>
      <c r="C378" s="2" t="s">
        <v>141</v>
      </c>
      <c r="D378" s="15" t="s">
        <v>890</v>
      </c>
      <c r="E378" s="31">
        <f>8.886-0.33+(0.051)-0.672-1.804-0.752-(0.009)-0.178-0.05-(0.022)</f>
        <v>5.1199999999999992</v>
      </c>
    </row>
    <row r="379" spans="1:5" ht="34">
      <c r="A379" s="38" t="s">
        <v>958</v>
      </c>
      <c r="B379" s="1" t="s">
        <v>16</v>
      </c>
      <c r="C379" s="2" t="s">
        <v>141</v>
      </c>
      <c r="D379" s="15" t="s">
        <v>630</v>
      </c>
      <c r="E379" s="31">
        <f>19.018-9.509-1.596+(0.051)-0.37-0.37-0.37-2.638</f>
        <v>4.2160000000000002</v>
      </c>
    </row>
    <row r="380" spans="1:5" ht="34">
      <c r="A380" s="38" t="s">
        <v>958</v>
      </c>
      <c r="B380" s="1" t="s">
        <v>16</v>
      </c>
      <c r="C380" s="2" t="s">
        <v>141</v>
      </c>
      <c r="D380" s="15" t="s">
        <v>636</v>
      </c>
      <c r="E380" s="31">
        <f>19.772-9.886-0.572-(0.01)-3.968-2.366-0.814</f>
        <v>2.1560000000000001</v>
      </c>
    </row>
    <row r="381" spans="1:5" ht="34">
      <c r="A381" s="38" t="s">
        <v>958</v>
      </c>
      <c r="B381" s="1" t="s">
        <v>16</v>
      </c>
      <c r="C381" s="2" t="s">
        <v>141</v>
      </c>
      <c r="D381" s="15" t="s">
        <v>631</v>
      </c>
      <c r="E381" s="31">
        <f>2.366</f>
        <v>2.3660000000000001</v>
      </c>
    </row>
    <row r="382" spans="1:5" ht="34">
      <c r="A382" s="38" t="s">
        <v>958</v>
      </c>
      <c r="B382" s="1" t="s">
        <v>16</v>
      </c>
      <c r="C382" s="2" t="s">
        <v>141</v>
      </c>
      <c r="D382" s="15" t="s">
        <v>479</v>
      </c>
      <c r="E382" s="31">
        <f>9.886</f>
        <v>9.8859999999999992</v>
      </c>
    </row>
    <row r="383" spans="1:5" ht="34">
      <c r="A383" s="38" t="s">
        <v>958</v>
      </c>
      <c r="B383" s="16" t="s">
        <v>211</v>
      </c>
      <c r="C383" s="12" t="s">
        <v>212</v>
      </c>
      <c r="D383" s="16" t="s">
        <v>307</v>
      </c>
      <c r="E383" s="26">
        <f>2.844-1.87-0.232-0.042-0.234-(0.002)-0.164-0.078-0.056-(0.004)-0.094</f>
        <v>6.79999999999997E-2</v>
      </c>
    </row>
    <row r="384" spans="1:5" ht="34">
      <c r="A384" s="38" t="s">
        <v>958</v>
      </c>
      <c r="B384" s="16" t="s">
        <v>211</v>
      </c>
      <c r="C384" s="12" t="s">
        <v>255</v>
      </c>
      <c r="D384" s="16" t="s">
        <v>665</v>
      </c>
      <c r="E384" s="26">
        <f>3.805-0.308-(0.103)-0.334-(0.008)</f>
        <v>3.052</v>
      </c>
    </row>
    <row r="385" spans="1:5" ht="34">
      <c r="A385" s="38" t="s">
        <v>958</v>
      </c>
      <c r="B385" s="16" t="s">
        <v>211</v>
      </c>
      <c r="C385" s="12" t="s">
        <v>255</v>
      </c>
      <c r="D385" s="16" t="s">
        <v>254</v>
      </c>
      <c r="E385" s="26">
        <f>19.025</f>
        <v>19.024999999999999</v>
      </c>
    </row>
    <row r="386" spans="1:5" ht="34">
      <c r="A386" s="38" t="s">
        <v>958</v>
      </c>
      <c r="B386" s="16" t="s">
        <v>448</v>
      </c>
      <c r="C386" s="12" t="s">
        <v>229</v>
      </c>
      <c r="D386" s="16" t="s">
        <v>18</v>
      </c>
      <c r="E386" s="26">
        <f>0.405</f>
        <v>0.40500000000000003</v>
      </c>
    </row>
    <row r="387" spans="1:5" ht="34">
      <c r="A387" s="38" t="s">
        <v>958</v>
      </c>
      <c r="B387" s="16" t="s">
        <v>448</v>
      </c>
      <c r="C387" s="12" t="s">
        <v>229</v>
      </c>
      <c r="D387" s="16" t="s">
        <v>18</v>
      </c>
      <c r="E387" s="26">
        <f>0.91</f>
        <v>0.91</v>
      </c>
    </row>
    <row r="388" spans="1:5" ht="34">
      <c r="A388" s="38" t="s">
        <v>958</v>
      </c>
      <c r="B388" s="16" t="s">
        <v>140</v>
      </c>
      <c r="C388" s="12" t="s">
        <v>229</v>
      </c>
      <c r="D388" s="16" t="s">
        <v>347</v>
      </c>
      <c r="E388" s="26">
        <f>3.979-1.056-2.482</f>
        <v>0.44099999999999984</v>
      </c>
    </row>
    <row r="389" spans="1:5" ht="34">
      <c r="A389" s="38" t="s">
        <v>958</v>
      </c>
      <c r="B389" s="16" t="s">
        <v>140</v>
      </c>
      <c r="C389" s="12" t="s">
        <v>142</v>
      </c>
      <c r="D389" s="16" t="s">
        <v>11</v>
      </c>
      <c r="E389" s="26">
        <f>3.555-0.71-0.722-0.702-0.725</f>
        <v>0.69600000000000029</v>
      </c>
    </row>
    <row r="390" spans="1:5" ht="34">
      <c r="A390" s="38" t="s">
        <v>958</v>
      </c>
      <c r="B390" s="16" t="s">
        <v>140</v>
      </c>
      <c r="C390" s="12" t="s">
        <v>142</v>
      </c>
      <c r="D390" s="16" t="s">
        <v>676</v>
      </c>
      <c r="E390" s="26">
        <f>0.71-0.57</f>
        <v>0.14000000000000001</v>
      </c>
    </row>
    <row r="391" spans="1:5" ht="34">
      <c r="A391" s="38" t="s">
        <v>958</v>
      </c>
      <c r="B391" s="16" t="s">
        <v>140</v>
      </c>
      <c r="C391" s="12" t="s">
        <v>142</v>
      </c>
      <c r="D391" s="16" t="s">
        <v>440</v>
      </c>
      <c r="E391" s="26">
        <f>0.702-0.234</f>
        <v>0.46799999999999997</v>
      </c>
    </row>
    <row r="392" spans="1:5" ht="34">
      <c r="A392" s="38" t="s">
        <v>958</v>
      </c>
      <c r="B392" s="16" t="s">
        <v>140</v>
      </c>
      <c r="C392" s="12" t="s">
        <v>229</v>
      </c>
      <c r="D392" s="16" t="s">
        <v>226</v>
      </c>
      <c r="E392" s="26">
        <f>0.614-0.298-0.058-0.176-0.004</f>
        <v>7.8000000000000014E-2</v>
      </c>
    </row>
    <row r="393" spans="1:5" ht="34">
      <c r="A393" s="38" t="s">
        <v>958</v>
      </c>
      <c r="B393" s="16" t="s">
        <v>220</v>
      </c>
      <c r="C393" s="12" t="s">
        <v>142</v>
      </c>
      <c r="D393" s="16" t="s">
        <v>340</v>
      </c>
      <c r="E393" s="26">
        <f>4.52-2.97-0.044-1.036-(0.004)-0.154-(0.002)</f>
        <v>0.30999999999999928</v>
      </c>
    </row>
    <row r="394" spans="1:5" ht="34">
      <c r="A394" s="38" t="s">
        <v>958</v>
      </c>
      <c r="B394" s="16" t="s">
        <v>140</v>
      </c>
      <c r="C394" s="12" t="s">
        <v>142</v>
      </c>
      <c r="D394" s="16" t="s">
        <v>476</v>
      </c>
      <c r="E394" s="25">
        <f>0.2-0.142+(0.006)</f>
        <v>6.4000000000000029E-2</v>
      </c>
    </row>
    <row r="395" spans="1:5" ht="34">
      <c r="A395" s="38" t="s">
        <v>958</v>
      </c>
      <c r="B395" s="16" t="s">
        <v>140</v>
      </c>
      <c r="C395" s="12" t="s">
        <v>142</v>
      </c>
      <c r="D395" s="16" t="s">
        <v>933</v>
      </c>
      <c r="E395" s="25">
        <f>1.185-0.88-(0.005)</f>
        <v>0.30000000000000004</v>
      </c>
    </row>
    <row r="396" spans="1:5" ht="34">
      <c r="A396" s="38" t="s">
        <v>958</v>
      </c>
      <c r="B396" s="16" t="s">
        <v>159</v>
      </c>
      <c r="C396" s="12" t="s">
        <v>142</v>
      </c>
      <c r="D396" s="16" t="s">
        <v>158</v>
      </c>
      <c r="E396" s="26">
        <f>1.014</f>
        <v>1.014</v>
      </c>
    </row>
    <row r="397" spans="1:5" ht="34">
      <c r="A397" s="38" t="s">
        <v>958</v>
      </c>
      <c r="B397" s="12" t="s">
        <v>23</v>
      </c>
      <c r="C397" s="12" t="s">
        <v>648</v>
      </c>
      <c r="D397" s="5" t="s">
        <v>8</v>
      </c>
      <c r="E397" s="28">
        <f>2.98-0.495-0.296-1.5</f>
        <v>0.68900000000000006</v>
      </c>
    </row>
    <row r="398" spans="1:5" ht="34">
      <c r="A398" s="38" t="s">
        <v>958</v>
      </c>
      <c r="B398" s="1" t="s">
        <v>20</v>
      </c>
      <c r="C398" s="12" t="s">
        <v>333</v>
      </c>
      <c r="D398" s="5" t="s">
        <v>33</v>
      </c>
      <c r="E398" s="28">
        <f>20.18-4.92-4.9-4.87</f>
        <v>5.4899999999999993</v>
      </c>
    </row>
    <row r="399" spans="1:5" ht="34">
      <c r="A399" s="38" t="s">
        <v>958</v>
      </c>
      <c r="B399" s="12" t="s">
        <v>23</v>
      </c>
      <c r="C399" s="12" t="s">
        <v>87</v>
      </c>
      <c r="D399" s="5" t="s">
        <v>9</v>
      </c>
      <c r="E399" s="28">
        <f>2.875-1.015-1.403-0.064</f>
        <v>0.39300000000000007</v>
      </c>
    </row>
    <row r="400" spans="1:5" ht="34">
      <c r="A400" s="38" t="s">
        <v>958</v>
      </c>
      <c r="B400" s="12" t="s">
        <v>23</v>
      </c>
      <c r="C400" s="12" t="s">
        <v>87</v>
      </c>
      <c r="D400" s="5" t="s">
        <v>282</v>
      </c>
      <c r="E400" s="28">
        <f>23.415-5.689-1.69-0.842-10.194</f>
        <v>4.9999999999999964</v>
      </c>
    </row>
    <row r="401" spans="1:5" ht="34">
      <c r="A401" s="38" t="s">
        <v>958</v>
      </c>
      <c r="B401" s="12" t="s">
        <v>23</v>
      </c>
      <c r="C401" s="12" t="s">
        <v>87</v>
      </c>
      <c r="D401" s="5" t="s">
        <v>377</v>
      </c>
      <c r="E401" s="28">
        <f>0.272-0.046-0.032-0.046</f>
        <v>0.14800000000000002</v>
      </c>
    </row>
    <row r="402" spans="1:5" ht="34">
      <c r="A402" s="38" t="s">
        <v>958</v>
      </c>
      <c r="B402" s="12" t="s">
        <v>23</v>
      </c>
      <c r="C402" s="12" t="s">
        <v>87</v>
      </c>
      <c r="D402" s="5" t="s">
        <v>320</v>
      </c>
      <c r="E402" s="28">
        <f>8.025-0.568-0.284-3.132-0.854</f>
        <v>3.1870000000000003</v>
      </c>
    </row>
    <row r="403" spans="1:5" ht="34">
      <c r="A403" s="38" t="s">
        <v>958</v>
      </c>
      <c r="B403" s="12" t="s">
        <v>23</v>
      </c>
      <c r="C403" s="12" t="s">
        <v>87</v>
      </c>
      <c r="D403" s="5" t="s">
        <v>710</v>
      </c>
      <c r="E403" s="28">
        <f>0.284-0.142</f>
        <v>0.14199999999999999</v>
      </c>
    </row>
    <row r="404" spans="1:5" ht="34">
      <c r="A404" s="38" t="s">
        <v>958</v>
      </c>
      <c r="B404" s="12" t="s">
        <v>23</v>
      </c>
      <c r="C404" s="12" t="s">
        <v>87</v>
      </c>
      <c r="D404" s="5" t="s">
        <v>320</v>
      </c>
      <c r="E404" s="28">
        <f>7.44</f>
        <v>7.44</v>
      </c>
    </row>
    <row r="405" spans="1:5" ht="34">
      <c r="A405" s="38" t="s">
        <v>958</v>
      </c>
      <c r="B405" s="12" t="s">
        <v>23</v>
      </c>
      <c r="C405" s="12" t="s">
        <v>415</v>
      </c>
      <c r="D405" s="5" t="s">
        <v>56</v>
      </c>
      <c r="E405" s="28">
        <f>3.135-0.577-0.405-0.547-0.481-0.546</f>
        <v>0.57899999999999952</v>
      </c>
    </row>
    <row r="406" spans="1:5" ht="34">
      <c r="A406" s="38" t="s">
        <v>958</v>
      </c>
      <c r="B406" s="12" t="s">
        <v>23</v>
      </c>
      <c r="C406" s="12" t="s">
        <v>646</v>
      </c>
      <c r="D406" s="5" t="s">
        <v>61</v>
      </c>
      <c r="E406" s="28">
        <f>19.82-2.474-1.064-1.42-1.756-3.174-2.828-2.13-4.62</f>
        <v>0.35400000000000098</v>
      </c>
    </row>
    <row r="407" spans="1:5" ht="34">
      <c r="A407" s="38" t="s">
        <v>958</v>
      </c>
      <c r="B407" s="12" t="s">
        <v>23</v>
      </c>
      <c r="C407" s="12" t="s">
        <v>87</v>
      </c>
      <c r="D407" s="5" t="s">
        <v>66</v>
      </c>
      <c r="E407" s="28">
        <f>2.955-0.993-0.685-0.277-0.194</f>
        <v>0.80600000000000005</v>
      </c>
    </row>
    <row r="408" spans="1:5" ht="34">
      <c r="A408" s="38" t="s">
        <v>958</v>
      </c>
      <c r="B408" s="12" t="s">
        <v>23</v>
      </c>
      <c r="C408" s="12" t="s">
        <v>87</v>
      </c>
      <c r="D408" s="5" t="s">
        <v>257</v>
      </c>
      <c r="E408" s="28">
        <f>20.475-5.255-5.265-1.599-0.435-2.181-1.609-0.148</f>
        <v>3.9830000000000019</v>
      </c>
    </row>
    <row r="409" spans="1:5" ht="34">
      <c r="A409" s="38" t="s">
        <v>958</v>
      </c>
      <c r="B409" s="12" t="s">
        <v>23</v>
      </c>
      <c r="C409" s="12" t="s">
        <v>87</v>
      </c>
      <c r="D409" s="5" t="s">
        <v>49</v>
      </c>
      <c r="E409" s="28">
        <f>2.89-0.811-1.217</f>
        <v>0.8620000000000001</v>
      </c>
    </row>
    <row r="410" spans="1:5" ht="34">
      <c r="A410" s="38" t="s">
        <v>958</v>
      </c>
      <c r="B410" s="12" t="s">
        <v>23</v>
      </c>
      <c r="C410" s="12" t="s">
        <v>87</v>
      </c>
      <c r="D410" s="5" t="s">
        <v>49</v>
      </c>
      <c r="E410" s="28">
        <f>15.12-0.862-1.292-3.022-2.598-1.26-2.152</f>
        <v>3.9339999999999993</v>
      </c>
    </row>
    <row r="411" spans="1:5" ht="34">
      <c r="A411" s="38" t="s">
        <v>958</v>
      </c>
      <c r="B411" s="12" t="s">
        <v>23</v>
      </c>
      <c r="C411" s="12" t="s">
        <v>87</v>
      </c>
      <c r="D411" s="5" t="s">
        <v>906</v>
      </c>
      <c r="E411" s="28">
        <f>1.26-1.077</f>
        <v>0.18300000000000005</v>
      </c>
    </row>
    <row r="412" spans="1:5" ht="34">
      <c r="A412" s="38" t="s">
        <v>958</v>
      </c>
      <c r="B412" s="12" t="s">
        <v>23</v>
      </c>
      <c r="C412" s="12" t="s">
        <v>87</v>
      </c>
      <c r="D412" s="12" t="s">
        <v>505</v>
      </c>
      <c r="E412" s="28">
        <f>2.74-0.567-0.112-0.114-0.114-0.114-0.114-0.683-0.114</f>
        <v>0.8079999999999995</v>
      </c>
    </row>
    <row r="413" spans="1:5" ht="34">
      <c r="A413" s="38" t="s">
        <v>958</v>
      </c>
      <c r="B413" s="12" t="s">
        <v>23</v>
      </c>
      <c r="C413" s="12" t="s">
        <v>415</v>
      </c>
      <c r="D413" s="5" t="s">
        <v>95</v>
      </c>
      <c r="E413" s="28">
        <f>3.115-0.521-0.13-1.285-0.13</f>
        <v>1.0490000000000004</v>
      </c>
    </row>
    <row r="414" spans="1:5" ht="34">
      <c r="A414" s="38" t="s">
        <v>958</v>
      </c>
      <c r="B414" s="12" t="s">
        <v>23</v>
      </c>
      <c r="C414" s="12" t="s">
        <v>646</v>
      </c>
      <c r="D414" s="5" t="s">
        <v>22</v>
      </c>
      <c r="E414" s="28">
        <f>22.71-3.333-1.106-1.108-3.87-0.552-10.01</f>
        <v>2.7309999999999999</v>
      </c>
    </row>
    <row r="415" spans="1:5" ht="34">
      <c r="A415" s="38" t="s">
        <v>958</v>
      </c>
      <c r="B415" s="12" t="s">
        <v>23</v>
      </c>
      <c r="C415" s="12" t="s">
        <v>87</v>
      </c>
      <c r="D415" s="5" t="s">
        <v>96</v>
      </c>
      <c r="E415" s="28">
        <f>3.05-0.953-0.96-0.16</f>
        <v>0.97699999999999998</v>
      </c>
    </row>
    <row r="416" spans="1:5" ht="34">
      <c r="A416" s="38" t="s">
        <v>958</v>
      </c>
      <c r="B416" s="12" t="s">
        <v>23</v>
      </c>
      <c r="C416" s="12" t="s">
        <v>646</v>
      </c>
      <c r="D416" s="5" t="s">
        <v>11</v>
      </c>
      <c r="E416" s="28">
        <f>21.47-0.691-0.692-1.384-2.778-2.768-0.692-2.772-7.152</f>
        <v>2.5409999999999995</v>
      </c>
    </row>
    <row r="417" spans="1:5" ht="34">
      <c r="A417" s="38" t="s">
        <v>958</v>
      </c>
      <c r="B417" s="12" t="s">
        <v>23</v>
      </c>
      <c r="C417" s="12" t="s">
        <v>646</v>
      </c>
      <c r="D417" s="5" t="s">
        <v>465</v>
      </c>
      <c r="E417" s="28">
        <f>0.692-0.346-0.23-(0.002)</f>
        <v>0.11399999999999996</v>
      </c>
    </row>
    <row r="418" spans="1:5" ht="34">
      <c r="A418" s="38" t="s">
        <v>958</v>
      </c>
      <c r="B418" s="12" t="s">
        <v>23</v>
      </c>
      <c r="C418" s="12" t="s">
        <v>646</v>
      </c>
      <c r="D418" s="5" t="s">
        <v>757</v>
      </c>
      <c r="E418" s="28">
        <f>0.23</f>
        <v>0.23</v>
      </c>
    </row>
    <row r="419" spans="1:5" ht="34">
      <c r="A419" s="38" t="s">
        <v>958</v>
      </c>
      <c r="B419" s="12" t="s">
        <v>23</v>
      </c>
      <c r="C419" s="12" t="s">
        <v>87</v>
      </c>
      <c r="D419" s="12" t="s">
        <v>299</v>
      </c>
      <c r="E419" s="28">
        <f>0.85-0.14-(0.008)-0.294-(0.002)</f>
        <v>0.40599999999999997</v>
      </c>
    </row>
    <row r="420" spans="1:5" ht="34">
      <c r="A420" s="38" t="s">
        <v>958</v>
      </c>
      <c r="B420" s="12" t="s">
        <v>23</v>
      </c>
      <c r="C420" s="12" t="s">
        <v>87</v>
      </c>
      <c r="D420" s="5" t="s">
        <v>309</v>
      </c>
      <c r="E420" s="28">
        <f>0.824-0.484</f>
        <v>0.33999999999999997</v>
      </c>
    </row>
    <row r="421" spans="1:5" ht="34">
      <c r="A421" s="38" t="s">
        <v>958</v>
      </c>
      <c r="B421" s="12" t="s">
        <v>23</v>
      </c>
      <c r="C421" s="12" t="s">
        <v>87</v>
      </c>
      <c r="D421" s="5" t="s">
        <v>47</v>
      </c>
      <c r="E421" s="28">
        <f>5.112-0.841-0.842-0.84</f>
        <v>2.589</v>
      </c>
    </row>
    <row r="422" spans="1:5" ht="34">
      <c r="A422" s="38" t="s">
        <v>958</v>
      </c>
      <c r="B422" s="12" t="s">
        <v>23</v>
      </c>
      <c r="C422" s="12" t="s">
        <v>87</v>
      </c>
      <c r="D422" s="5" t="s">
        <v>601</v>
      </c>
      <c r="E422" s="28">
        <f>0.84-0.422-0.388+(0.002)</f>
        <v>3.1999999999999973E-2</v>
      </c>
    </row>
    <row r="423" spans="1:5" ht="34">
      <c r="A423" s="38" t="s">
        <v>958</v>
      </c>
      <c r="B423" s="12" t="s">
        <v>23</v>
      </c>
      <c r="C423" s="12" t="s">
        <v>87</v>
      </c>
      <c r="D423" s="5" t="s">
        <v>47</v>
      </c>
      <c r="E423" s="28">
        <f>1.704</f>
        <v>1.704</v>
      </c>
    </row>
    <row r="424" spans="1:5" ht="34">
      <c r="A424" s="38" t="s">
        <v>958</v>
      </c>
      <c r="B424" s="12" t="s">
        <v>23</v>
      </c>
      <c r="C424" s="12" t="s">
        <v>87</v>
      </c>
      <c r="D424" s="5" t="s">
        <v>660</v>
      </c>
      <c r="E424" s="28">
        <f>2.982-1.98-0.082-(0.017)-0.328</f>
        <v>0.57500000000000018</v>
      </c>
    </row>
    <row r="425" spans="1:5" ht="34">
      <c r="A425" s="38" t="s">
        <v>958</v>
      </c>
      <c r="B425" s="12" t="s">
        <v>23</v>
      </c>
      <c r="C425" s="12" t="s">
        <v>87</v>
      </c>
      <c r="D425" s="5" t="s">
        <v>68</v>
      </c>
      <c r="E425" s="28">
        <f>1.988</f>
        <v>1.988</v>
      </c>
    </row>
    <row r="426" spans="1:5" ht="34">
      <c r="A426" s="38" t="s">
        <v>958</v>
      </c>
      <c r="B426" s="12" t="s">
        <v>23</v>
      </c>
      <c r="C426" s="12" t="s">
        <v>415</v>
      </c>
      <c r="D426" s="5" t="s">
        <v>365</v>
      </c>
      <c r="E426" s="28">
        <f>0.912-0.5</f>
        <v>0.41200000000000003</v>
      </c>
    </row>
    <row r="427" spans="1:5" ht="34">
      <c r="A427" s="38" t="s">
        <v>958</v>
      </c>
      <c r="B427" s="12" t="s">
        <v>23</v>
      </c>
      <c r="C427" s="12" t="s">
        <v>415</v>
      </c>
      <c r="D427" s="5" t="s">
        <v>473</v>
      </c>
      <c r="E427" s="28">
        <f>2.122</f>
        <v>2.1219999999999999</v>
      </c>
    </row>
    <row r="428" spans="1:5" ht="34">
      <c r="A428" s="38" t="s">
        <v>958</v>
      </c>
      <c r="B428" s="12" t="s">
        <v>23</v>
      </c>
      <c r="C428" s="12" t="s">
        <v>87</v>
      </c>
      <c r="D428" s="5" t="s">
        <v>615</v>
      </c>
      <c r="E428" s="28">
        <f>3.411-2.18-0.108-(0.145)-0.328</f>
        <v>0.64999999999999969</v>
      </c>
    </row>
    <row r="429" spans="1:5" ht="34">
      <c r="A429" s="38" t="s">
        <v>958</v>
      </c>
      <c r="B429" s="12" t="s">
        <v>23</v>
      </c>
      <c r="C429" s="12" t="s">
        <v>87</v>
      </c>
      <c r="D429" s="5" t="s">
        <v>709</v>
      </c>
      <c r="E429" s="28">
        <f>1.14-0.566-0.384</f>
        <v>0.18999999999999995</v>
      </c>
    </row>
    <row r="430" spans="1:5" ht="34">
      <c r="A430" s="38" t="s">
        <v>958</v>
      </c>
      <c r="B430" s="12" t="s">
        <v>23</v>
      </c>
      <c r="C430" s="12" t="s">
        <v>87</v>
      </c>
      <c r="D430" s="5" t="s">
        <v>758</v>
      </c>
      <c r="E430" s="28">
        <f>0.384</f>
        <v>0.38400000000000001</v>
      </c>
    </row>
    <row r="431" spans="1:5" ht="34">
      <c r="A431" s="38" t="s">
        <v>958</v>
      </c>
      <c r="B431" s="12" t="s">
        <v>23</v>
      </c>
      <c r="C431" s="12" t="s">
        <v>87</v>
      </c>
      <c r="D431" s="5" t="s">
        <v>593</v>
      </c>
      <c r="E431" s="28">
        <f>1.137-0.57+(0.007)</f>
        <v>0.57400000000000007</v>
      </c>
    </row>
    <row r="432" spans="1:5" ht="34">
      <c r="A432" s="38" t="s">
        <v>958</v>
      </c>
      <c r="B432" s="12" t="s">
        <v>23</v>
      </c>
      <c r="C432" s="12" t="s">
        <v>87</v>
      </c>
      <c r="D432" s="5" t="s">
        <v>30</v>
      </c>
      <c r="E432" s="28">
        <f>4.548</f>
        <v>4.548</v>
      </c>
    </row>
    <row r="433" spans="1:5" ht="34">
      <c r="A433" s="38" t="s">
        <v>958</v>
      </c>
      <c r="B433" s="12" t="s">
        <v>23</v>
      </c>
      <c r="C433" s="12" t="s">
        <v>87</v>
      </c>
      <c r="D433" s="5" t="s">
        <v>243</v>
      </c>
      <c r="E433" s="28">
        <f>2.51</f>
        <v>2.5099999999999998</v>
      </c>
    </row>
    <row r="434" spans="1:5" ht="34">
      <c r="A434" s="38" t="s">
        <v>958</v>
      </c>
      <c r="B434" s="12" t="s">
        <v>23</v>
      </c>
      <c r="C434" s="12" t="s">
        <v>415</v>
      </c>
      <c r="D434" s="5" t="s">
        <v>934</v>
      </c>
      <c r="E434" s="28">
        <f>1.52-0.248-(0.04)</f>
        <v>1.232</v>
      </c>
    </row>
    <row r="435" spans="1:5" ht="34">
      <c r="A435" s="38" t="s">
        <v>958</v>
      </c>
      <c r="B435" s="12" t="s">
        <v>23</v>
      </c>
      <c r="C435" s="12" t="s">
        <v>87</v>
      </c>
      <c r="D435" s="5" t="s">
        <v>261</v>
      </c>
      <c r="E435" s="28">
        <f>10.28-1.262-1.252-1.258</f>
        <v>6.5079999999999991</v>
      </c>
    </row>
    <row r="436" spans="1:5" ht="34">
      <c r="A436" s="38" t="s">
        <v>958</v>
      </c>
      <c r="B436" s="12" t="s">
        <v>23</v>
      </c>
      <c r="C436" s="12" t="s">
        <v>87</v>
      </c>
      <c r="D436" s="5" t="s">
        <v>409</v>
      </c>
      <c r="E436" s="28">
        <f>1.252-1.01</f>
        <v>0.24199999999999999</v>
      </c>
    </row>
    <row r="437" spans="1:5" ht="34">
      <c r="A437" s="38" t="s">
        <v>958</v>
      </c>
      <c r="B437" s="12" t="s">
        <v>23</v>
      </c>
      <c r="C437" s="12" t="s">
        <v>87</v>
      </c>
      <c r="D437" s="5" t="s">
        <v>695</v>
      </c>
      <c r="E437" s="28">
        <f>1.258-0.694</f>
        <v>0.56400000000000006</v>
      </c>
    </row>
    <row r="438" spans="1:5" ht="34">
      <c r="A438" s="38" t="s">
        <v>958</v>
      </c>
      <c r="B438" s="12" t="s">
        <v>23</v>
      </c>
      <c r="C438" s="12" t="s">
        <v>415</v>
      </c>
      <c r="D438" s="5" t="s">
        <v>37</v>
      </c>
      <c r="E438" s="28">
        <f>5.712</f>
        <v>5.7119999999999997</v>
      </c>
    </row>
    <row r="439" spans="1:5" ht="34">
      <c r="A439" s="38" t="s">
        <v>958</v>
      </c>
      <c r="B439" s="12" t="s">
        <v>23</v>
      </c>
      <c r="C439" s="12" t="s">
        <v>415</v>
      </c>
      <c r="D439" s="12" t="s">
        <v>641</v>
      </c>
      <c r="E439" s="28">
        <f>3.142-1.571-0.79+(0.005)</f>
        <v>0.78599999999999992</v>
      </c>
    </row>
    <row r="440" spans="1:5" ht="34">
      <c r="A440" s="38" t="s">
        <v>958</v>
      </c>
      <c r="B440" s="12" t="s">
        <v>23</v>
      </c>
      <c r="C440" s="12" t="s">
        <v>415</v>
      </c>
      <c r="D440" s="12" t="s">
        <v>895</v>
      </c>
      <c r="E440" s="28">
        <f>3.142-1.555-1.086-(0.035)</f>
        <v>0.46599999999999986</v>
      </c>
    </row>
    <row r="441" spans="1:5" ht="34">
      <c r="A441" s="38" t="s">
        <v>958</v>
      </c>
      <c r="B441" s="12" t="s">
        <v>23</v>
      </c>
      <c r="C441" s="12" t="s">
        <v>87</v>
      </c>
      <c r="D441" s="12" t="s">
        <v>935</v>
      </c>
      <c r="E441" s="28">
        <f>3.57-1.754-0.176-(0.06)-0.882-0.294-0.05-0.196-0.089</f>
        <v>6.8999999999999867E-2</v>
      </c>
    </row>
    <row r="442" spans="1:5" ht="34">
      <c r="A442" s="38" t="s">
        <v>958</v>
      </c>
      <c r="B442" s="12" t="s">
        <v>23</v>
      </c>
      <c r="C442" s="12" t="s">
        <v>87</v>
      </c>
      <c r="D442" s="12" t="s">
        <v>335</v>
      </c>
      <c r="E442" s="28">
        <f>0.294-0.148</f>
        <v>0.14599999999999999</v>
      </c>
    </row>
    <row r="443" spans="1:5" ht="34">
      <c r="A443" s="38" t="s">
        <v>958</v>
      </c>
      <c r="B443" s="12" t="s">
        <v>23</v>
      </c>
      <c r="C443" s="12" t="s">
        <v>87</v>
      </c>
      <c r="D443" s="12" t="s">
        <v>458</v>
      </c>
      <c r="E443" s="28">
        <f>1.746-0.018-0.064-0.212-0.142-(0.008)-0.266-0.878-(0.004)</f>
        <v>0.15400000000000003</v>
      </c>
    </row>
    <row r="444" spans="1:5" ht="34">
      <c r="A444" s="38" t="s">
        <v>958</v>
      </c>
      <c r="B444" s="12" t="s">
        <v>23</v>
      </c>
      <c r="C444" s="12" t="s">
        <v>87</v>
      </c>
      <c r="D444" s="12" t="s">
        <v>296</v>
      </c>
      <c r="E444" s="28">
        <f>1.748-0.874</f>
        <v>0.874</v>
      </c>
    </row>
    <row r="445" spans="1:5" ht="34">
      <c r="A445" s="38" t="s">
        <v>958</v>
      </c>
      <c r="B445" s="12" t="s">
        <v>23</v>
      </c>
      <c r="C445" s="12" t="s">
        <v>87</v>
      </c>
      <c r="D445" s="5" t="s">
        <v>345</v>
      </c>
      <c r="E445" s="28">
        <f>0.116</f>
        <v>0.11600000000000001</v>
      </c>
    </row>
    <row r="446" spans="1:5" ht="34">
      <c r="A446" s="38" t="s">
        <v>958</v>
      </c>
      <c r="B446" s="12" t="s">
        <v>23</v>
      </c>
      <c r="C446" s="12" t="s">
        <v>87</v>
      </c>
      <c r="D446" s="5" t="s">
        <v>696</v>
      </c>
      <c r="E446" s="28">
        <f>2.088-1.044-0.25-0.266-0.156-(0.002)-0.072-0.074</f>
        <v>0.22399999999999998</v>
      </c>
    </row>
    <row r="447" spans="1:5" ht="34">
      <c r="A447" s="38" t="s">
        <v>958</v>
      </c>
      <c r="B447" s="12" t="s">
        <v>23</v>
      </c>
      <c r="C447" s="12" t="s">
        <v>415</v>
      </c>
      <c r="D447" s="5" t="s">
        <v>787</v>
      </c>
      <c r="E447" s="28">
        <f>21.42-18.994-(0.284)-0.214-(0.026)</f>
        <v>1.9020000000000021</v>
      </c>
    </row>
    <row r="448" spans="1:5" ht="34">
      <c r="A448" s="38" t="s">
        <v>958</v>
      </c>
      <c r="B448" s="12" t="s">
        <v>23</v>
      </c>
      <c r="C448" s="12" t="s">
        <v>415</v>
      </c>
      <c r="D448" s="5" t="s">
        <v>60</v>
      </c>
      <c r="E448" s="28">
        <f>8.568-4.284-2.142</f>
        <v>2.1419999999999999</v>
      </c>
    </row>
    <row r="449" spans="1:5" ht="34">
      <c r="A449" s="38" t="s">
        <v>958</v>
      </c>
      <c r="B449" s="12" t="s">
        <v>23</v>
      </c>
      <c r="C449" s="12" t="s">
        <v>87</v>
      </c>
      <c r="D449" s="5" t="s">
        <v>237</v>
      </c>
      <c r="E449" s="28">
        <f>4.568-2.226</f>
        <v>2.3419999999999996</v>
      </c>
    </row>
    <row r="450" spans="1:5" ht="34">
      <c r="A450" s="38" t="s">
        <v>958</v>
      </c>
      <c r="B450" s="12" t="s">
        <v>23</v>
      </c>
      <c r="C450" s="12" t="s">
        <v>87</v>
      </c>
      <c r="D450" s="5" t="s">
        <v>642</v>
      </c>
      <c r="E450" s="28">
        <f>2.226-1.116</f>
        <v>1.1099999999999999</v>
      </c>
    </row>
    <row r="451" spans="1:5" ht="34">
      <c r="A451" s="38" t="s">
        <v>958</v>
      </c>
      <c r="B451" s="12" t="s">
        <v>23</v>
      </c>
      <c r="C451" s="12" t="s">
        <v>87</v>
      </c>
      <c r="D451" s="12" t="s">
        <v>683</v>
      </c>
      <c r="E451" s="28">
        <f>2.512-0.254-0.084-(0.002)-0.214-(0.008)-0.092-(0.014)-0.15-(0.004)-1.276-(0.008)-0.09-(0.006)</f>
        <v>0.31000000000000016</v>
      </c>
    </row>
    <row r="452" spans="1:5" ht="34">
      <c r="A452" s="38" t="s">
        <v>958</v>
      </c>
      <c r="B452" s="12" t="s">
        <v>23</v>
      </c>
      <c r="C452" s="12" t="s">
        <v>87</v>
      </c>
      <c r="D452" s="12" t="s">
        <v>690</v>
      </c>
      <c r="E452" s="28">
        <f>2.57-1.264-(0.046)</f>
        <v>1.2599999999999998</v>
      </c>
    </row>
    <row r="453" spans="1:5" ht="34">
      <c r="A453" s="38" t="s">
        <v>958</v>
      </c>
      <c r="B453" s="12" t="s">
        <v>23</v>
      </c>
      <c r="C453" s="12" t="s">
        <v>415</v>
      </c>
      <c r="D453" s="12" t="s">
        <v>290</v>
      </c>
      <c r="E453" s="28">
        <f>2.57</f>
        <v>2.57</v>
      </c>
    </row>
    <row r="454" spans="1:5" ht="34">
      <c r="A454" s="38" t="s">
        <v>958</v>
      </c>
      <c r="B454" s="1" t="s">
        <v>23</v>
      </c>
      <c r="C454" s="2" t="s">
        <v>141</v>
      </c>
      <c r="D454" s="17" t="s">
        <v>428</v>
      </c>
      <c r="E454" s="33">
        <f>8.565-2.84-2.826-1.41-0.708-(0.081)</f>
        <v>0.69999999999999973</v>
      </c>
    </row>
    <row r="455" spans="1:5" ht="34">
      <c r="A455" s="38" t="s">
        <v>958</v>
      </c>
      <c r="B455" s="1" t="s">
        <v>23</v>
      </c>
      <c r="C455" s="2" t="s">
        <v>141</v>
      </c>
      <c r="D455" s="17" t="s">
        <v>598</v>
      </c>
      <c r="E455" s="33">
        <f>2.826-0.94-1.412-(0.01)-0.204-(0.002)</f>
        <v>0.25800000000000023</v>
      </c>
    </row>
    <row r="456" spans="1:5" ht="34">
      <c r="A456" s="38" t="s">
        <v>958</v>
      </c>
      <c r="B456" s="1" t="s">
        <v>23</v>
      </c>
      <c r="C456" s="2" t="s">
        <v>141</v>
      </c>
      <c r="D456" s="17" t="s">
        <v>722</v>
      </c>
      <c r="E456" s="33">
        <f>2.928-1.982-0.474-(0.014)-0.046-(0.002)-0.03-0.088-(0.002)</f>
        <v>0.29000000000000004</v>
      </c>
    </row>
    <row r="457" spans="1:5" ht="34">
      <c r="A457" s="38" t="s">
        <v>958</v>
      </c>
      <c r="B457" s="1" t="s">
        <v>23</v>
      </c>
      <c r="C457" s="2" t="s">
        <v>414</v>
      </c>
      <c r="D457" s="17" t="s">
        <v>684</v>
      </c>
      <c r="E457" s="33">
        <f>5.71-2.826-(0.029)-1.436-(0.031)-0.95-(0.002)-0.082-(0.006)</f>
        <v>0.34800000000000014</v>
      </c>
    </row>
    <row r="458" spans="1:5" ht="34">
      <c r="A458" s="38" t="s">
        <v>958</v>
      </c>
      <c r="B458" s="1" t="s">
        <v>23</v>
      </c>
      <c r="C458" s="2" t="s">
        <v>415</v>
      </c>
      <c r="D458" s="17" t="s">
        <v>273</v>
      </c>
      <c r="E458" s="33">
        <f>5.71-2.855</f>
        <v>2.855</v>
      </c>
    </row>
    <row r="459" spans="1:5" ht="34">
      <c r="A459" s="38" t="s">
        <v>958</v>
      </c>
      <c r="B459" s="1" t="s">
        <v>23</v>
      </c>
      <c r="C459" s="2" t="s">
        <v>415</v>
      </c>
      <c r="D459" s="17" t="s">
        <v>941</v>
      </c>
      <c r="E459" s="33">
        <f>2.855-1.02</f>
        <v>1.835</v>
      </c>
    </row>
    <row r="460" spans="1:5" ht="34">
      <c r="A460" s="38" t="s">
        <v>958</v>
      </c>
      <c r="B460" s="12" t="s">
        <v>23</v>
      </c>
      <c r="C460" s="12" t="s">
        <v>141</v>
      </c>
      <c r="D460" s="17" t="s">
        <v>287</v>
      </c>
      <c r="E460" s="33">
        <f>1.564-1.058-0.038</f>
        <v>0.46800000000000003</v>
      </c>
    </row>
    <row r="461" spans="1:5" ht="34">
      <c r="A461" s="38" t="s">
        <v>958</v>
      </c>
      <c r="B461" s="12" t="s">
        <v>23</v>
      </c>
      <c r="C461" s="12" t="s">
        <v>87</v>
      </c>
      <c r="D461" s="12" t="s">
        <v>595</v>
      </c>
      <c r="E461" s="28">
        <f>3.212-0.294-(0.03)-0.388-(0.014)-1.596-(0.004)</f>
        <v>0.88600000000000056</v>
      </c>
    </row>
    <row r="462" spans="1:5" ht="34">
      <c r="A462" s="38" t="s">
        <v>958</v>
      </c>
      <c r="B462" s="12" t="s">
        <v>23</v>
      </c>
      <c r="C462" s="12" t="s">
        <v>415</v>
      </c>
      <c r="D462" s="12" t="s">
        <v>936</v>
      </c>
      <c r="E462" s="28">
        <f>4.203-2.826</f>
        <v>1.3770000000000002</v>
      </c>
    </row>
    <row r="463" spans="1:5" ht="34">
      <c r="A463" s="38" t="s">
        <v>958</v>
      </c>
      <c r="B463" s="12" t="s">
        <v>23</v>
      </c>
      <c r="C463" s="12" t="s">
        <v>87</v>
      </c>
      <c r="D463" s="5" t="s">
        <v>547</v>
      </c>
      <c r="E463" s="28">
        <f>3.506-0.536-0.398-0.59-(0.004)-1.176-(0.006)-0.084-0.094-0.294-(0.006)</f>
        <v>0.31799999999999989</v>
      </c>
    </row>
    <row r="464" spans="1:5" ht="34">
      <c r="A464" s="38" t="s">
        <v>958</v>
      </c>
      <c r="B464" s="12" t="s">
        <v>23</v>
      </c>
      <c r="C464" s="12" t="s">
        <v>87</v>
      </c>
      <c r="D464" s="5" t="s">
        <v>378</v>
      </c>
      <c r="E464" s="28">
        <f>0.094</f>
        <v>9.4E-2</v>
      </c>
    </row>
    <row r="465" spans="1:5" ht="34">
      <c r="A465" s="38" t="s">
        <v>958</v>
      </c>
      <c r="B465" s="12" t="s">
        <v>23</v>
      </c>
      <c r="C465" s="12" t="s">
        <v>87</v>
      </c>
      <c r="D465" s="5" t="s">
        <v>937</v>
      </c>
      <c r="E465" s="28">
        <f>3.569-2.002-(0.037)-1.18-(0.004)-0.192+(0.008)</f>
        <v>0.16200000000000031</v>
      </c>
    </row>
    <row r="466" spans="1:5" ht="34">
      <c r="A466" s="38" t="s">
        <v>958</v>
      </c>
      <c r="B466" s="12" t="s">
        <v>23</v>
      </c>
      <c r="C466" s="12" t="s">
        <v>87</v>
      </c>
      <c r="D466" s="5" t="s">
        <v>550</v>
      </c>
      <c r="E466" s="28">
        <f>3.53-1.76-0.856-(0.036)-0.264-(0.01)</f>
        <v>0.60399999999999976</v>
      </c>
    </row>
    <row r="467" spans="1:5" ht="34">
      <c r="A467" s="38" t="s">
        <v>958</v>
      </c>
      <c r="B467" s="12" t="s">
        <v>23</v>
      </c>
      <c r="C467" s="12" t="s">
        <v>87</v>
      </c>
      <c r="D467" s="5" t="s">
        <v>737</v>
      </c>
      <c r="E467" s="28">
        <f>3.507-1.75-(0.009)-0.878</f>
        <v>0.87000000000000022</v>
      </c>
    </row>
    <row r="468" spans="1:5" ht="34">
      <c r="A468" s="38" t="s">
        <v>958</v>
      </c>
      <c r="B468" s="12" t="s">
        <v>23</v>
      </c>
      <c r="C468" s="12" t="s">
        <v>87</v>
      </c>
      <c r="D468" s="5" t="s">
        <v>463</v>
      </c>
      <c r="E468" s="28">
        <f>3.51-0.88-(0.032)-0.516-(0.024)-1.762-(0.004)</f>
        <v>0.29199999999999982</v>
      </c>
    </row>
    <row r="469" spans="1:5" ht="34">
      <c r="A469" s="38" t="s">
        <v>958</v>
      </c>
      <c r="B469" s="12" t="s">
        <v>23</v>
      </c>
      <c r="C469" s="12" t="s">
        <v>646</v>
      </c>
      <c r="D469" s="5" t="s">
        <v>260</v>
      </c>
      <c r="E469" s="28">
        <f>7.138-3.6</f>
        <v>3.5379999999999998</v>
      </c>
    </row>
    <row r="470" spans="1:5" ht="34">
      <c r="A470" s="38" t="s">
        <v>958</v>
      </c>
      <c r="B470" s="12" t="s">
        <v>23</v>
      </c>
      <c r="C470" s="12" t="s">
        <v>87</v>
      </c>
      <c r="D470" s="5" t="s">
        <v>523</v>
      </c>
      <c r="E470" s="28">
        <f>4.05-1.992-0.042-0.416-(0.004)-0.39-(0.006)-0.088-(0.01)-0.036-0.152-0.068-(0.01)-0.072-(0.018)-0.338-(0.007)</f>
        <v>0.40099999999999986</v>
      </c>
    </row>
    <row r="471" spans="1:5" ht="34">
      <c r="A471" s="38" t="s">
        <v>958</v>
      </c>
      <c r="B471" s="12" t="s">
        <v>23</v>
      </c>
      <c r="C471" s="12" t="s">
        <v>87</v>
      </c>
      <c r="D471" s="5" t="s">
        <v>551</v>
      </c>
      <c r="E471" s="28">
        <f>4.15-2.766+(0.012)-0.156</f>
        <v>1.2400000000000004</v>
      </c>
    </row>
    <row r="472" spans="1:5" ht="34">
      <c r="A472" s="38" t="s">
        <v>958</v>
      </c>
      <c r="B472" s="1" t="s">
        <v>23</v>
      </c>
      <c r="C472" s="2" t="s">
        <v>141</v>
      </c>
      <c r="D472" s="17" t="s">
        <v>182</v>
      </c>
      <c r="E472" s="34">
        <f>0.072</f>
        <v>7.1999999999999995E-2</v>
      </c>
    </row>
    <row r="473" spans="1:5" ht="34">
      <c r="A473" s="38" t="s">
        <v>958</v>
      </c>
      <c r="B473" s="1" t="s">
        <v>23</v>
      </c>
      <c r="C473" s="2" t="s">
        <v>141</v>
      </c>
      <c r="D473" s="17" t="s">
        <v>204</v>
      </c>
      <c r="E473" s="34">
        <f>0.04</f>
        <v>0.04</v>
      </c>
    </row>
    <row r="474" spans="1:5" ht="34">
      <c r="A474" s="38" t="s">
        <v>958</v>
      </c>
      <c r="B474" s="1" t="s">
        <v>23</v>
      </c>
      <c r="C474" s="2" t="s">
        <v>141</v>
      </c>
      <c r="D474" s="17" t="s">
        <v>527</v>
      </c>
      <c r="E474" s="33">
        <f>4.42-0.904-0.244+(0.006)-0.35-0.694-0.518-0.536-0.908-(0.022)-0.056-(0.002)-0.098</f>
        <v>9.3999999999999917E-2</v>
      </c>
    </row>
    <row r="475" spans="1:5" ht="34">
      <c r="A475" s="38" t="s">
        <v>958</v>
      </c>
      <c r="B475" s="1" t="s">
        <v>23</v>
      </c>
      <c r="C475" s="2" t="s">
        <v>141</v>
      </c>
      <c r="D475" s="17" t="s">
        <v>582</v>
      </c>
      <c r="E475" s="33">
        <f>4.56-0.598-0.618-0.446-0.382-0.12-0.12-0.038-0.04-0.042-(0.096)-0.234-(0.006)-0.404-(0.036)-0.318-(0.006)</f>
        <v>1.0559999999999994</v>
      </c>
    </row>
    <row r="476" spans="1:5" ht="34">
      <c r="A476" s="38" t="s">
        <v>958</v>
      </c>
      <c r="B476" s="1" t="s">
        <v>23</v>
      </c>
      <c r="C476" s="2" t="s">
        <v>141</v>
      </c>
      <c r="D476" s="17" t="s">
        <v>416</v>
      </c>
      <c r="E476" s="33">
        <f>0.12</f>
        <v>0.12</v>
      </c>
    </row>
    <row r="477" spans="1:5" ht="34">
      <c r="A477" s="38" t="s">
        <v>958</v>
      </c>
      <c r="B477" s="1" t="s">
        <v>23</v>
      </c>
      <c r="C477" s="2" t="s">
        <v>141</v>
      </c>
      <c r="D477" s="17" t="s">
        <v>417</v>
      </c>
      <c r="E477" s="33">
        <f>0.12</f>
        <v>0.12</v>
      </c>
    </row>
    <row r="478" spans="1:5" ht="34">
      <c r="A478" s="38" t="s">
        <v>958</v>
      </c>
      <c r="B478" s="1" t="s">
        <v>23</v>
      </c>
      <c r="C478" s="2" t="s">
        <v>141</v>
      </c>
      <c r="D478" s="17" t="s">
        <v>418</v>
      </c>
      <c r="E478" s="33">
        <f>0.038</f>
        <v>3.7999999999999999E-2</v>
      </c>
    </row>
    <row r="479" spans="1:5" ht="34">
      <c r="A479" s="38" t="s">
        <v>958</v>
      </c>
      <c r="B479" s="1" t="s">
        <v>23</v>
      </c>
      <c r="C479" s="2" t="s">
        <v>141</v>
      </c>
      <c r="D479" s="17" t="s">
        <v>419</v>
      </c>
      <c r="E479" s="33">
        <f>0.04</f>
        <v>0.04</v>
      </c>
    </row>
    <row r="480" spans="1:5" ht="34">
      <c r="A480" s="38" t="s">
        <v>958</v>
      </c>
      <c r="B480" s="1" t="s">
        <v>23</v>
      </c>
      <c r="C480" s="2" t="s">
        <v>414</v>
      </c>
      <c r="D480" s="17" t="s">
        <v>768</v>
      </c>
      <c r="E480" s="33">
        <f>4.55-2.262-0.012-0.726-0.248-0.24-0.246-(0.046)-0.122-0.14-(0.002)</f>
        <v>0.50599999999999978</v>
      </c>
    </row>
    <row r="481" spans="1:5" ht="34">
      <c r="A481" s="38" t="s">
        <v>958</v>
      </c>
      <c r="B481" s="1" t="s">
        <v>23</v>
      </c>
      <c r="C481" s="2" t="s">
        <v>414</v>
      </c>
      <c r="D481" s="17" t="s">
        <v>776</v>
      </c>
      <c r="E481" s="33">
        <f>4.45-2.256+(0.082)</f>
        <v>2.2760000000000002</v>
      </c>
    </row>
    <row r="482" spans="1:5" ht="34">
      <c r="A482" s="38" t="s">
        <v>958</v>
      </c>
      <c r="B482" s="1" t="s">
        <v>23</v>
      </c>
      <c r="C482" s="2" t="s">
        <v>414</v>
      </c>
      <c r="D482" s="17" t="s">
        <v>756</v>
      </c>
      <c r="E482" s="33">
        <f>4.45-2.412+(0.088)</f>
        <v>2.1260000000000003</v>
      </c>
    </row>
    <row r="483" spans="1:5" ht="34">
      <c r="A483" s="38" t="s">
        <v>958</v>
      </c>
      <c r="B483" s="1" t="s">
        <v>23</v>
      </c>
      <c r="C483" s="2" t="s">
        <v>414</v>
      </c>
      <c r="D483" s="17" t="s">
        <v>242</v>
      </c>
      <c r="E483" s="33">
        <f>4.62</f>
        <v>4.62</v>
      </c>
    </row>
    <row r="484" spans="1:5" ht="34">
      <c r="A484" s="38" t="s">
        <v>958</v>
      </c>
      <c r="B484" s="1" t="s">
        <v>23</v>
      </c>
      <c r="C484" s="2" t="s">
        <v>414</v>
      </c>
      <c r="D484" s="17" t="s">
        <v>811</v>
      </c>
      <c r="E484" s="33">
        <f>4.94-2.862-(0.144)</f>
        <v>1.9340000000000004</v>
      </c>
    </row>
    <row r="485" spans="1:5" ht="34">
      <c r="A485" s="38" t="s">
        <v>958</v>
      </c>
      <c r="B485" s="1" t="s">
        <v>23</v>
      </c>
      <c r="C485" s="2" t="s">
        <v>414</v>
      </c>
      <c r="D485" s="17" t="s">
        <v>877</v>
      </c>
      <c r="E485" s="33">
        <f>4.774-2.854+(0.002)</f>
        <v>1.9219999999999999</v>
      </c>
    </row>
    <row r="486" spans="1:5" ht="34">
      <c r="A486" s="38" t="s">
        <v>958</v>
      </c>
      <c r="B486" s="1" t="s">
        <v>23</v>
      </c>
      <c r="C486" s="2" t="s">
        <v>414</v>
      </c>
      <c r="D486" s="17" t="s">
        <v>859</v>
      </c>
      <c r="E486" s="33">
        <f>9.546</f>
        <v>9.5459999999999994</v>
      </c>
    </row>
    <row r="487" spans="1:5" ht="34">
      <c r="A487" s="38" t="s">
        <v>958</v>
      </c>
      <c r="B487" s="1" t="s">
        <v>23</v>
      </c>
      <c r="C487" s="2" t="s">
        <v>141</v>
      </c>
      <c r="D487" s="17" t="s">
        <v>389</v>
      </c>
      <c r="E487" s="33">
        <f>0.076</f>
        <v>7.5999999999999998E-2</v>
      </c>
    </row>
    <row r="488" spans="1:5" ht="34">
      <c r="A488" s="38" t="s">
        <v>958</v>
      </c>
      <c r="B488" s="1" t="s">
        <v>23</v>
      </c>
      <c r="C488" s="2" t="s">
        <v>141</v>
      </c>
      <c r="D488" s="17" t="s">
        <v>390</v>
      </c>
      <c r="E488" s="33">
        <f>0.062</f>
        <v>6.2E-2</v>
      </c>
    </row>
    <row r="489" spans="1:5" ht="34">
      <c r="A489" s="38" t="s">
        <v>958</v>
      </c>
      <c r="B489" s="1" t="s">
        <v>23</v>
      </c>
      <c r="C489" s="2" t="s">
        <v>141</v>
      </c>
      <c r="D489" s="17" t="s">
        <v>385</v>
      </c>
      <c r="E489" s="33">
        <f>2.71</f>
        <v>2.71</v>
      </c>
    </row>
    <row r="490" spans="1:5" ht="34">
      <c r="A490" s="38" t="s">
        <v>958</v>
      </c>
      <c r="B490" s="1" t="s">
        <v>23</v>
      </c>
      <c r="C490" s="2" t="s">
        <v>141</v>
      </c>
      <c r="D490" s="17" t="s">
        <v>315</v>
      </c>
      <c r="E490" s="33">
        <f>10.098-5.11-2.538-1.706+(0.122)</f>
        <v>0.86600000000000066</v>
      </c>
    </row>
    <row r="491" spans="1:5" ht="34">
      <c r="A491" s="38" t="s">
        <v>958</v>
      </c>
      <c r="B491" s="1" t="s">
        <v>23</v>
      </c>
      <c r="C491" s="2" t="s">
        <v>141</v>
      </c>
      <c r="D491" s="17" t="s">
        <v>334</v>
      </c>
      <c r="E491" s="33">
        <f>5.11-1.268-2.528-(0.014)-1.098-(0.004)</f>
        <v>0.1980000000000004</v>
      </c>
    </row>
    <row r="492" spans="1:5" ht="34">
      <c r="A492" s="38" t="s">
        <v>958</v>
      </c>
      <c r="B492" s="1" t="s">
        <v>23</v>
      </c>
      <c r="C492" s="2" t="s">
        <v>141</v>
      </c>
      <c r="D492" s="17" t="s">
        <v>315</v>
      </c>
      <c r="E492" s="33">
        <f>5.132-2.57+(0.042)-1.106-0.614</f>
        <v>0.88399999999999956</v>
      </c>
    </row>
    <row r="493" spans="1:5" ht="34">
      <c r="A493" s="38" t="s">
        <v>958</v>
      </c>
      <c r="B493" s="1" t="s">
        <v>23</v>
      </c>
      <c r="C493" s="2" t="s">
        <v>141</v>
      </c>
      <c r="D493" s="17" t="s">
        <v>453</v>
      </c>
      <c r="E493" s="33">
        <f>0.614</f>
        <v>0.61399999999999999</v>
      </c>
    </row>
    <row r="494" spans="1:5" ht="34">
      <c r="A494" s="38" t="s">
        <v>958</v>
      </c>
      <c r="B494" s="1" t="s">
        <v>23</v>
      </c>
      <c r="C494" s="2" t="s">
        <v>414</v>
      </c>
      <c r="D494" s="17" t="s">
        <v>477</v>
      </c>
      <c r="E494" s="33">
        <f>10.264</f>
        <v>10.263999999999999</v>
      </c>
    </row>
    <row r="495" spans="1:5" ht="34">
      <c r="A495" s="38" t="s">
        <v>958</v>
      </c>
      <c r="B495" s="1" t="s">
        <v>23</v>
      </c>
      <c r="C495" s="2" t="s">
        <v>141</v>
      </c>
      <c r="D495" s="17" t="s">
        <v>549</v>
      </c>
      <c r="E495" s="33">
        <f>4.976-0.636-0.188-(0.022)-0.26-(0.022)-1.246-(0.004)-0.17-(0.028)</f>
        <v>2.4000000000000004</v>
      </c>
    </row>
    <row r="496" spans="1:5" ht="34">
      <c r="A496" s="38" t="s">
        <v>958</v>
      </c>
      <c r="B496" s="1" t="s">
        <v>23</v>
      </c>
      <c r="C496" s="2" t="s">
        <v>141</v>
      </c>
      <c r="D496" s="17" t="s">
        <v>285</v>
      </c>
      <c r="E496" s="33">
        <f>4.858</f>
        <v>4.8579999999999997</v>
      </c>
    </row>
    <row r="497" spans="1:5" ht="34">
      <c r="A497" s="38" t="s">
        <v>958</v>
      </c>
      <c r="B497" s="1" t="s">
        <v>23</v>
      </c>
      <c r="C497" s="2" t="s">
        <v>141</v>
      </c>
      <c r="D497" s="17" t="s">
        <v>380</v>
      </c>
      <c r="E497" s="34">
        <f>11.54-8.6-(0.072)-1.156-(0.01)-1.332-(0.002)</f>
        <v>0.36799999999999944</v>
      </c>
    </row>
    <row r="498" spans="1:5" ht="34">
      <c r="A498" s="38" t="s">
        <v>958</v>
      </c>
      <c r="B498" s="1" t="s">
        <v>23</v>
      </c>
      <c r="C498" s="2" t="s">
        <v>141</v>
      </c>
      <c r="D498" s="17" t="s">
        <v>942</v>
      </c>
      <c r="E498" s="34">
        <f>5.865-0.028-0.018-0.074+(0.207)-2.016-2.85</f>
        <v>1.0860000000000007</v>
      </c>
    </row>
    <row r="499" spans="1:5" ht="34">
      <c r="A499" s="38" t="s">
        <v>958</v>
      </c>
      <c r="B499" s="1" t="s">
        <v>23</v>
      </c>
      <c r="C499" s="2" t="s">
        <v>141</v>
      </c>
      <c r="D499" s="17" t="s">
        <v>319</v>
      </c>
      <c r="E499" s="33">
        <f>11.73</f>
        <v>11.73</v>
      </c>
    </row>
    <row r="500" spans="1:5" ht="34">
      <c r="A500" s="38" t="s">
        <v>958</v>
      </c>
      <c r="B500" s="1" t="s">
        <v>23</v>
      </c>
      <c r="C500" s="2" t="s">
        <v>141</v>
      </c>
      <c r="D500" s="17" t="s">
        <v>319</v>
      </c>
      <c r="E500" s="33">
        <f>17.595-5.865</f>
        <v>11.729999999999999</v>
      </c>
    </row>
    <row r="501" spans="1:5" ht="34">
      <c r="A501" s="38" t="s">
        <v>958</v>
      </c>
      <c r="B501" s="1" t="s">
        <v>23</v>
      </c>
      <c r="C501" s="2" t="s">
        <v>141</v>
      </c>
      <c r="D501" s="17" t="s">
        <v>526</v>
      </c>
      <c r="E501" s="34">
        <f>12.982-6.491-1.494-(0.041)</f>
        <v>4.9559999999999995</v>
      </c>
    </row>
    <row r="502" spans="1:5" ht="34">
      <c r="A502" s="38" t="s">
        <v>958</v>
      </c>
      <c r="B502" s="1" t="s">
        <v>23</v>
      </c>
      <c r="C502" s="2" t="s">
        <v>141</v>
      </c>
      <c r="D502" s="17" t="s">
        <v>470</v>
      </c>
      <c r="E502" s="34">
        <f>1.494</f>
        <v>1.494</v>
      </c>
    </row>
    <row r="503" spans="1:5" ht="34">
      <c r="A503" s="38" t="s">
        <v>958</v>
      </c>
      <c r="B503" s="1" t="s">
        <v>23</v>
      </c>
      <c r="C503" s="2" t="s">
        <v>141</v>
      </c>
      <c r="D503" s="17" t="s">
        <v>295</v>
      </c>
      <c r="E503" s="34">
        <f>13.196-6.598</f>
        <v>6.5979999999999999</v>
      </c>
    </row>
    <row r="504" spans="1:5" ht="34">
      <c r="A504" s="38" t="s">
        <v>958</v>
      </c>
      <c r="B504" s="1" t="s">
        <v>23</v>
      </c>
      <c r="C504" s="2" t="s">
        <v>141</v>
      </c>
      <c r="D504" s="17" t="s">
        <v>943</v>
      </c>
      <c r="E504" s="33">
        <f>14.662-7.414-1.592-0.88+(0.118)-1.246-(0.004)-0.808-(0.008)-0.628-1.639</f>
        <v>0.56100000000000105</v>
      </c>
    </row>
    <row r="505" spans="1:5" ht="34">
      <c r="A505" s="38" t="s">
        <v>958</v>
      </c>
      <c r="B505" s="1" t="s">
        <v>23</v>
      </c>
      <c r="C505" s="2" t="s">
        <v>141</v>
      </c>
      <c r="D505" s="17" t="s">
        <v>944</v>
      </c>
      <c r="E505" s="33">
        <f>0.88</f>
        <v>0.88</v>
      </c>
    </row>
    <row r="506" spans="1:5" ht="34">
      <c r="A506" s="38" t="s">
        <v>958</v>
      </c>
      <c r="B506" s="1" t="s">
        <v>23</v>
      </c>
      <c r="C506" s="2" t="s">
        <v>141</v>
      </c>
      <c r="D506" s="17" t="s">
        <v>791</v>
      </c>
      <c r="E506" s="33">
        <f>7.414-0.994</f>
        <v>6.42</v>
      </c>
    </row>
    <row r="507" spans="1:5" ht="34">
      <c r="A507" s="38" t="s">
        <v>958</v>
      </c>
      <c r="B507" s="1" t="s">
        <v>23</v>
      </c>
      <c r="C507" s="2" t="s">
        <v>141</v>
      </c>
      <c r="D507" s="17" t="s">
        <v>478</v>
      </c>
      <c r="E507" s="33">
        <f>14.662-7.522+(0.191)</f>
        <v>7.3310000000000004</v>
      </c>
    </row>
    <row r="508" spans="1:5" ht="34">
      <c r="A508" s="38" t="s">
        <v>958</v>
      </c>
      <c r="B508" s="1" t="s">
        <v>23</v>
      </c>
      <c r="C508" s="2" t="s">
        <v>141</v>
      </c>
      <c r="D508" s="17" t="s">
        <v>649</v>
      </c>
      <c r="E508" s="33">
        <f>7.522-3.754</f>
        <v>3.7680000000000002</v>
      </c>
    </row>
    <row r="509" spans="1:5" ht="34">
      <c r="A509" s="38" t="s">
        <v>958</v>
      </c>
      <c r="B509" s="1" t="s">
        <v>23</v>
      </c>
      <c r="C509" s="2" t="s">
        <v>306</v>
      </c>
      <c r="D509" s="17" t="s">
        <v>569</v>
      </c>
      <c r="E509" s="33">
        <f>8.146-2.802+(0.27)-1.1-1.408-0.644-(0.048)</f>
        <v>2.414000000000001</v>
      </c>
    </row>
    <row r="510" spans="1:5" ht="34">
      <c r="A510" s="38" t="s">
        <v>958</v>
      </c>
      <c r="B510" s="1" t="s">
        <v>23</v>
      </c>
      <c r="C510" s="2" t="s">
        <v>141</v>
      </c>
      <c r="D510" s="17" t="s">
        <v>165</v>
      </c>
      <c r="E510" s="33">
        <f>16.292-8.146</f>
        <v>8.1460000000000008</v>
      </c>
    </row>
    <row r="511" spans="1:5" ht="34">
      <c r="A511" s="38" t="s">
        <v>958</v>
      </c>
      <c r="B511" s="1" t="s">
        <v>23</v>
      </c>
      <c r="C511" s="2" t="s">
        <v>141</v>
      </c>
      <c r="D511" s="17" t="s">
        <v>889</v>
      </c>
      <c r="E511" s="33">
        <f>8.146-1.338-0.22-0.518-0.096+(0.156)</f>
        <v>6.1300000000000008</v>
      </c>
    </row>
    <row r="512" spans="1:5" ht="34">
      <c r="A512" s="38" t="s">
        <v>958</v>
      </c>
      <c r="B512" s="1" t="s">
        <v>23</v>
      </c>
      <c r="C512" s="2" t="s">
        <v>146</v>
      </c>
      <c r="D512" s="17" t="s">
        <v>525</v>
      </c>
      <c r="E512" s="34">
        <f>17.488-8.78-0.168-0.138-0.1-0.142+(0.098)-2.218-1.234-2.568</f>
        <v>2.2380000000000027</v>
      </c>
    </row>
    <row r="513" spans="1:5" ht="34">
      <c r="A513" s="38" t="s">
        <v>958</v>
      </c>
      <c r="B513" s="1" t="s">
        <v>23</v>
      </c>
      <c r="C513" s="2" t="s">
        <v>146</v>
      </c>
      <c r="D513" s="17" t="s">
        <v>469</v>
      </c>
      <c r="E513" s="34">
        <f>2.568</f>
        <v>2.5680000000000001</v>
      </c>
    </row>
    <row r="514" spans="1:5" ht="34">
      <c r="A514" s="38" t="s">
        <v>958</v>
      </c>
      <c r="B514" s="1" t="s">
        <v>23</v>
      </c>
      <c r="C514" s="2" t="s">
        <v>553</v>
      </c>
      <c r="D514" s="17" t="s">
        <v>480</v>
      </c>
      <c r="E514" s="34">
        <f>17.772-8.886</f>
        <v>8.8859999999999992</v>
      </c>
    </row>
    <row r="515" spans="1:5" ht="34">
      <c r="A515" s="38" t="s">
        <v>958</v>
      </c>
      <c r="B515" s="1" t="s">
        <v>23</v>
      </c>
      <c r="C515" s="2" t="s">
        <v>141</v>
      </c>
      <c r="D515" s="17" t="s">
        <v>522</v>
      </c>
      <c r="E515" s="33">
        <f>9.627-4.888+0.141-1.674-(0.01)-1.624-(0.012)-0.39-(0.008)</f>
        <v>1.1620000000000008</v>
      </c>
    </row>
    <row r="516" spans="1:5" ht="34">
      <c r="A516" s="38" t="s">
        <v>958</v>
      </c>
      <c r="B516" s="1" t="s">
        <v>23</v>
      </c>
      <c r="C516" s="2" t="s">
        <v>141</v>
      </c>
      <c r="D516" s="17" t="s">
        <v>483</v>
      </c>
      <c r="E516" s="33">
        <f>19.254-9.627</f>
        <v>9.6270000000000007</v>
      </c>
    </row>
    <row r="517" spans="1:5" ht="34">
      <c r="A517" s="38" t="s">
        <v>958</v>
      </c>
      <c r="B517" s="1" t="s">
        <v>23</v>
      </c>
      <c r="C517" s="2" t="s">
        <v>141</v>
      </c>
      <c r="D517" s="17" t="s">
        <v>786</v>
      </c>
      <c r="E517" s="33">
        <f>9.852-0.604+(0.208)-2.846</f>
        <v>6.6100000000000012</v>
      </c>
    </row>
    <row r="518" spans="1:5" ht="34">
      <c r="A518" s="38" t="s">
        <v>958</v>
      </c>
      <c r="B518" s="1" t="s">
        <v>23</v>
      </c>
      <c r="C518" s="2" t="s">
        <v>141</v>
      </c>
      <c r="D518" s="17" t="s">
        <v>482</v>
      </c>
      <c r="E518" s="33">
        <f>18.536-9.268</f>
        <v>9.2680000000000007</v>
      </c>
    </row>
    <row r="519" spans="1:5" ht="34">
      <c r="A519" s="38" t="s">
        <v>958</v>
      </c>
      <c r="B519" s="1" t="s">
        <v>23</v>
      </c>
      <c r="C519" s="2" t="s">
        <v>141</v>
      </c>
      <c r="D519" s="17" t="s">
        <v>594</v>
      </c>
      <c r="E519" s="33">
        <f>9.268-3.752+(0.054)</f>
        <v>5.5700000000000012</v>
      </c>
    </row>
    <row r="520" spans="1:5" ht="34">
      <c r="A520" s="38" t="s">
        <v>958</v>
      </c>
      <c r="B520" s="1" t="s">
        <v>23</v>
      </c>
      <c r="C520" s="2" t="s">
        <v>141</v>
      </c>
      <c r="D520" s="17" t="s">
        <v>479</v>
      </c>
      <c r="E520" s="33">
        <f>9.886</f>
        <v>9.8859999999999992</v>
      </c>
    </row>
    <row r="521" spans="1:5" ht="34">
      <c r="A521" s="38" t="s">
        <v>958</v>
      </c>
      <c r="B521" s="11" t="s">
        <v>24</v>
      </c>
      <c r="C521" s="11" t="s">
        <v>186</v>
      </c>
      <c r="D521" s="16" t="s">
        <v>650</v>
      </c>
      <c r="E521" s="25">
        <f>1.13-0.558-(0.012)</f>
        <v>0.55999999999999983</v>
      </c>
    </row>
    <row r="522" spans="1:5" ht="34">
      <c r="A522" s="38" t="s">
        <v>958</v>
      </c>
      <c r="B522" s="11" t="s">
        <v>24</v>
      </c>
      <c r="C522" s="11" t="s">
        <v>119</v>
      </c>
      <c r="D522" s="16" t="s">
        <v>332</v>
      </c>
      <c r="E522" s="26">
        <f>3.57-1.708-0.97-0.15-0.086-(0.002)-0.145-(0.001)-0.07-(0.002)</f>
        <v>0.43599999999999989</v>
      </c>
    </row>
    <row r="523" spans="1:5" ht="34">
      <c r="A523" s="38" t="s">
        <v>958</v>
      </c>
      <c r="B523" s="11" t="s">
        <v>24</v>
      </c>
      <c r="C523" s="11" t="s">
        <v>87</v>
      </c>
      <c r="D523" s="16" t="s">
        <v>412</v>
      </c>
      <c r="E523" s="25">
        <f>2.855-1.406-(0.049)</f>
        <v>1.4000000000000001</v>
      </c>
    </row>
    <row r="524" spans="1:5" ht="34">
      <c r="A524" s="38" t="s">
        <v>958</v>
      </c>
      <c r="B524" s="11" t="s">
        <v>24</v>
      </c>
      <c r="C524" s="11" t="s">
        <v>415</v>
      </c>
      <c r="D524" s="16" t="s">
        <v>273</v>
      </c>
      <c r="E524" s="25">
        <f>5.71-2.79</f>
        <v>2.92</v>
      </c>
    </row>
    <row r="525" spans="1:5" ht="34">
      <c r="A525" s="38" t="s">
        <v>958</v>
      </c>
      <c r="B525" s="11" t="s">
        <v>24</v>
      </c>
      <c r="C525" s="11" t="s">
        <v>119</v>
      </c>
      <c r="D525" s="16" t="s">
        <v>247</v>
      </c>
      <c r="E525" s="26">
        <f>3.212-0.546+0.004-0.27-1.604-0.586</f>
        <v>0.2100000000000003</v>
      </c>
    </row>
    <row r="526" spans="1:5" ht="34">
      <c r="A526" s="38" t="s">
        <v>958</v>
      </c>
      <c r="B526" s="11" t="s">
        <v>24</v>
      </c>
      <c r="C526" s="11" t="s">
        <v>166</v>
      </c>
      <c r="D526" s="16" t="s">
        <v>233</v>
      </c>
      <c r="E526" s="25">
        <f>3.569-1.772-0.013-0.594-0.006-0.534</f>
        <v>0.64999999999999991</v>
      </c>
    </row>
    <row r="527" spans="1:5" ht="34">
      <c r="A527" s="38" t="s">
        <v>958</v>
      </c>
      <c r="B527" s="11" t="s">
        <v>24</v>
      </c>
      <c r="C527" s="11" t="s">
        <v>119</v>
      </c>
      <c r="D527" s="16" t="s">
        <v>234</v>
      </c>
      <c r="E527" s="26">
        <f>4.74-2.108+0.02-0.612-1.506</f>
        <v>0.53400000000000003</v>
      </c>
    </row>
    <row r="528" spans="1:5" ht="34">
      <c r="A528" s="38" t="s">
        <v>958</v>
      </c>
      <c r="B528" s="1" t="s">
        <v>15</v>
      </c>
      <c r="C528" s="2" t="s">
        <v>12</v>
      </c>
      <c r="D528" s="15" t="s">
        <v>848</v>
      </c>
      <c r="E528" s="33">
        <f>2.295-0.572-0.57-0.572-0.029-(0.01)</f>
        <v>0.54200000000000004</v>
      </c>
    </row>
    <row r="529" spans="1:5" ht="34">
      <c r="A529" s="38" t="s">
        <v>958</v>
      </c>
      <c r="B529" s="1" t="s">
        <v>15</v>
      </c>
      <c r="C529" s="2" t="s">
        <v>12</v>
      </c>
      <c r="D529" s="17" t="s">
        <v>11</v>
      </c>
      <c r="E529" s="28">
        <f>2.13-0.71-0.722</f>
        <v>0.69799999999999995</v>
      </c>
    </row>
    <row r="530" spans="1:5" ht="34">
      <c r="A530" s="38" t="s">
        <v>958</v>
      </c>
      <c r="B530" s="1" t="s">
        <v>15</v>
      </c>
      <c r="C530" s="2" t="s">
        <v>414</v>
      </c>
      <c r="D530" s="17" t="s">
        <v>47</v>
      </c>
      <c r="E530" s="31">
        <f>2.6-0.85</f>
        <v>1.75</v>
      </c>
    </row>
    <row r="531" spans="1:5" ht="34">
      <c r="A531" s="38" t="s">
        <v>958</v>
      </c>
      <c r="B531" s="1" t="s">
        <v>15</v>
      </c>
      <c r="C531" s="2" t="s">
        <v>414</v>
      </c>
      <c r="D531" s="17" t="s">
        <v>750</v>
      </c>
      <c r="E531" s="31">
        <f>0.85-0.036-0.074</f>
        <v>0.74</v>
      </c>
    </row>
    <row r="532" spans="1:5" ht="34">
      <c r="A532" s="38" t="s">
        <v>958</v>
      </c>
      <c r="B532" s="1" t="s">
        <v>15</v>
      </c>
      <c r="C532" s="2" t="s">
        <v>12</v>
      </c>
      <c r="D532" s="17" t="s">
        <v>330</v>
      </c>
      <c r="E532" s="31">
        <f>2.982-1.982-0.326-(0.014)-0.084-0.166-(0.002)-0.086-0.084</f>
        <v>0.23800000000000016</v>
      </c>
    </row>
    <row r="533" spans="1:5" ht="34">
      <c r="A533" s="38" t="s">
        <v>958</v>
      </c>
      <c r="B533" s="1" t="s">
        <v>15</v>
      </c>
      <c r="C533" s="2" t="s">
        <v>141</v>
      </c>
      <c r="D533" s="17" t="s">
        <v>68</v>
      </c>
      <c r="E533" s="31">
        <f>2.982</f>
        <v>2.9820000000000002</v>
      </c>
    </row>
    <row r="534" spans="1:5" ht="34">
      <c r="A534" s="38" t="s">
        <v>958</v>
      </c>
      <c r="B534" s="1" t="s">
        <v>15</v>
      </c>
      <c r="C534" s="2" t="s">
        <v>414</v>
      </c>
      <c r="D534" s="17" t="s">
        <v>452</v>
      </c>
      <c r="E534" s="31">
        <f>5.308</f>
        <v>5.3079999999999998</v>
      </c>
    </row>
    <row r="535" spans="1:5" ht="34">
      <c r="A535" s="38" t="s">
        <v>958</v>
      </c>
      <c r="B535" s="1" t="s">
        <v>15</v>
      </c>
      <c r="C535" s="2" t="s">
        <v>414</v>
      </c>
      <c r="D535" s="17" t="s">
        <v>738</v>
      </c>
      <c r="E535" s="31">
        <f>2.842-1.428</f>
        <v>1.4140000000000001</v>
      </c>
    </row>
    <row r="536" spans="1:5" ht="34">
      <c r="A536" s="38" t="s">
        <v>958</v>
      </c>
      <c r="B536" s="12" t="s">
        <v>15</v>
      </c>
      <c r="C536" s="12" t="s">
        <v>141</v>
      </c>
      <c r="D536" s="17" t="s">
        <v>514</v>
      </c>
      <c r="E536" s="33">
        <f>1.042-0.45+(0.02)-0.348-0.134-0.048-(0.002)</f>
        <v>8.0000000000000113E-2</v>
      </c>
    </row>
    <row r="537" spans="1:5" ht="34">
      <c r="A537" s="38" t="s">
        <v>958</v>
      </c>
      <c r="B537" s="1" t="s">
        <v>15</v>
      </c>
      <c r="C537" s="2" t="s">
        <v>141</v>
      </c>
      <c r="D537" s="17" t="s">
        <v>30</v>
      </c>
      <c r="E537" s="33">
        <f>3.411-1.136</f>
        <v>2.2750000000000004</v>
      </c>
    </row>
    <row r="538" spans="1:5" ht="34">
      <c r="A538" s="38" t="s">
        <v>958</v>
      </c>
      <c r="B538" s="1" t="s">
        <v>15</v>
      </c>
      <c r="C538" s="2" t="s">
        <v>141</v>
      </c>
      <c r="D538" s="17" t="s">
        <v>714</v>
      </c>
      <c r="E538" s="33">
        <f>1.136-0.568-0.098</f>
        <v>0.47</v>
      </c>
    </row>
    <row r="539" spans="1:5" ht="34">
      <c r="A539" s="38" t="s">
        <v>958</v>
      </c>
      <c r="B539" s="12" t="s">
        <v>15</v>
      </c>
      <c r="C539" s="12" t="s">
        <v>141</v>
      </c>
      <c r="D539" s="12" t="s">
        <v>611</v>
      </c>
      <c r="E539" s="33">
        <f>1.516-0.242-(0.016)-1.006-(0.004)</f>
        <v>0.248</v>
      </c>
    </row>
    <row r="540" spans="1:5" ht="34">
      <c r="A540" s="38" t="s">
        <v>958</v>
      </c>
      <c r="B540" s="12" t="s">
        <v>15</v>
      </c>
      <c r="C540" s="12" t="s">
        <v>529</v>
      </c>
      <c r="D540" s="17" t="s">
        <v>508</v>
      </c>
      <c r="E540" s="33">
        <f>3.032-1.48</f>
        <v>1.552</v>
      </c>
    </row>
    <row r="541" spans="1:5" ht="34">
      <c r="A541" s="38" t="s">
        <v>958</v>
      </c>
      <c r="B541" s="12" t="s">
        <v>15</v>
      </c>
      <c r="C541" s="12" t="s">
        <v>529</v>
      </c>
      <c r="D541" s="17" t="s">
        <v>621</v>
      </c>
      <c r="E541" s="33">
        <f>1.48-0.372</f>
        <v>1.1080000000000001</v>
      </c>
    </row>
    <row r="542" spans="1:5" ht="34">
      <c r="A542" s="38" t="s">
        <v>958</v>
      </c>
      <c r="B542" s="1" t="s">
        <v>15</v>
      </c>
      <c r="C542" s="2" t="s">
        <v>141</v>
      </c>
      <c r="D542" s="17" t="s">
        <v>407</v>
      </c>
      <c r="E542" s="33">
        <f>5.712-1.428-1.41-1.41-0.354-0.052-0.32-0.312-(0.012)-0.106-0.118-(0.004)-0.062-0.034</f>
        <v>8.9999999999999775E-2</v>
      </c>
    </row>
    <row r="543" spans="1:5" ht="34">
      <c r="A543" s="38" t="s">
        <v>958</v>
      </c>
      <c r="B543" s="1" t="s">
        <v>15</v>
      </c>
      <c r="C543" s="2" t="s">
        <v>141</v>
      </c>
      <c r="D543" s="17" t="s">
        <v>836</v>
      </c>
      <c r="E543" s="33">
        <f>1.396-0.698-0.304-(0.004)-0.12-(0.002)</f>
        <v>0.26799999999999996</v>
      </c>
    </row>
    <row r="544" spans="1:5" ht="34">
      <c r="A544" s="38" t="s">
        <v>958</v>
      </c>
      <c r="B544" s="1" t="s">
        <v>15</v>
      </c>
      <c r="C544" s="2" t="s">
        <v>141</v>
      </c>
      <c r="D544" s="17" t="s">
        <v>521</v>
      </c>
      <c r="E544" s="33">
        <f>1.382-0.51-0.232-(0.004)-0.46</f>
        <v>0.17599999999999988</v>
      </c>
    </row>
    <row r="545" spans="1:5" ht="34">
      <c r="A545" s="38" t="s">
        <v>958</v>
      </c>
      <c r="B545" s="1" t="s">
        <v>15</v>
      </c>
      <c r="C545" s="2" t="s">
        <v>141</v>
      </c>
      <c r="D545" s="17" t="s">
        <v>620</v>
      </c>
      <c r="E545" s="33">
        <f>1.386-0.586-0.234-0.104-0.116-(0.004)-0.254</f>
        <v>8.7999999999999967E-2</v>
      </c>
    </row>
    <row r="546" spans="1:5" ht="34">
      <c r="A546" s="38" t="s">
        <v>958</v>
      </c>
      <c r="B546" s="1" t="s">
        <v>15</v>
      </c>
      <c r="C546" s="2" t="s">
        <v>141</v>
      </c>
      <c r="D546" s="17" t="s">
        <v>715</v>
      </c>
      <c r="E546" s="33">
        <f>1.392-0.696-0.5-0.12-(0.004)</f>
        <v>7.1999999999999953E-2</v>
      </c>
    </row>
    <row r="547" spans="1:5" ht="34">
      <c r="A547" s="38" t="s">
        <v>958</v>
      </c>
      <c r="B547" s="1" t="s">
        <v>15</v>
      </c>
      <c r="C547" s="2" t="s">
        <v>529</v>
      </c>
      <c r="D547" s="17" t="s">
        <v>851</v>
      </c>
      <c r="E547" s="33">
        <f>2.856-1.428-0.938-(0.025)-0.306-(0.001)</f>
        <v>0.15799999999999997</v>
      </c>
    </row>
    <row r="548" spans="1:5" ht="34">
      <c r="A548" s="38" t="s">
        <v>958</v>
      </c>
      <c r="B548" s="1" t="s">
        <v>15</v>
      </c>
      <c r="C548" s="2" t="s">
        <v>529</v>
      </c>
      <c r="D548" s="17" t="s">
        <v>733</v>
      </c>
      <c r="E548" s="33">
        <f>1.428-0.706-0.11-(0.03)</f>
        <v>0.58199999999999996</v>
      </c>
    </row>
    <row r="549" spans="1:5" ht="34">
      <c r="A549" s="38" t="s">
        <v>958</v>
      </c>
      <c r="B549" s="1" t="s">
        <v>15</v>
      </c>
      <c r="C549" s="2" t="s">
        <v>529</v>
      </c>
      <c r="D549" s="17" t="s">
        <v>37</v>
      </c>
      <c r="E549" s="33">
        <f>5.712-1.41</f>
        <v>4.3019999999999996</v>
      </c>
    </row>
    <row r="550" spans="1:5" ht="34">
      <c r="A550" s="38" t="s">
        <v>958</v>
      </c>
      <c r="B550" s="1" t="s">
        <v>15</v>
      </c>
      <c r="C550" s="2" t="s">
        <v>141</v>
      </c>
      <c r="D550" s="17" t="s">
        <v>730</v>
      </c>
      <c r="E550" s="33">
        <f>1.785-0.59-0.594-(0.021)-0.294-0.076-(0.002)-0.15</f>
        <v>5.7999999999999857E-2</v>
      </c>
    </row>
    <row r="551" spans="1:5" ht="34">
      <c r="A551" s="38" t="s">
        <v>958</v>
      </c>
      <c r="B551" s="1" t="s">
        <v>15</v>
      </c>
      <c r="C551" s="2" t="s">
        <v>141</v>
      </c>
      <c r="D551" s="17" t="s">
        <v>456</v>
      </c>
      <c r="E551" s="33">
        <f>1.758-0.294-0.5-0.88-(0.006)</f>
        <v>7.7999999999999958E-2</v>
      </c>
    </row>
    <row r="552" spans="1:5" ht="34">
      <c r="A552" s="38" t="s">
        <v>958</v>
      </c>
      <c r="B552" s="1" t="s">
        <v>15</v>
      </c>
      <c r="C552" s="2" t="s">
        <v>141</v>
      </c>
      <c r="D552" s="17" t="s">
        <v>335</v>
      </c>
      <c r="E552" s="33">
        <f>1.75-0.598-0.07-0.148-0.164-(0.006)-0.236-(0.002)-0.38-(0.002)</f>
        <v>0.14400000000000002</v>
      </c>
    </row>
    <row r="553" spans="1:5" ht="34">
      <c r="A553" s="38" t="s">
        <v>958</v>
      </c>
      <c r="B553" s="1" t="s">
        <v>15</v>
      </c>
      <c r="C553" s="2" t="s">
        <v>141</v>
      </c>
      <c r="D553" s="17" t="s">
        <v>94</v>
      </c>
      <c r="E553" s="33">
        <f>3.57-1.736-(0.09)</f>
        <v>1.7439999999999998</v>
      </c>
    </row>
    <row r="554" spans="1:5" ht="34">
      <c r="A554" s="38" t="s">
        <v>958</v>
      </c>
      <c r="B554" s="1" t="s">
        <v>15</v>
      </c>
      <c r="C554" s="2" t="s">
        <v>141</v>
      </c>
      <c r="D554" s="17" t="s">
        <v>862</v>
      </c>
      <c r="E554" s="33">
        <f>1.736-0.09</f>
        <v>1.6459999999999999</v>
      </c>
    </row>
    <row r="555" spans="1:5" ht="34">
      <c r="A555" s="38" t="s">
        <v>958</v>
      </c>
      <c r="B555" s="1" t="s">
        <v>15</v>
      </c>
      <c r="C555" s="2" t="s">
        <v>141</v>
      </c>
      <c r="D555" s="17" t="s">
        <v>310</v>
      </c>
      <c r="E555" s="33">
        <f>2.132-1.064-0.644-0.356-(0.004)</f>
        <v>6.4000000000000057E-2</v>
      </c>
    </row>
    <row r="556" spans="1:5" ht="34">
      <c r="A556" s="38" t="s">
        <v>958</v>
      </c>
      <c r="B556" s="1" t="s">
        <v>15</v>
      </c>
      <c r="C556" s="2" t="s">
        <v>141</v>
      </c>
      <c r="D556" s="17" t="s">
        <v>376</v>
      </c>
      <c r="E556" s="33">
        <f>2.142-1.06-0.532-(0.026)-0.106-0.352-(0.006)</f>
        <v>5.9999999999999838E-2</v>
      </c>
    </row>
    <row r="557" spans="1:5" ht="34">
      <c r="A557" s="38" t="s">
        <v>958</v>
      </c>
      <c r="B557" s="1" t="s">
        <v>15</v>
      </c>
      <c r="C557" s="2" t="s">
        <v>141</v>
      </c>
      <c r="D557" s="17" t="s">
        <v>516</v>
      </c>
      <c r="E557" s="33">
        <f>2.1-0.35-0.704-(0.006)-0.708-(0.008)-0.098-0.146-(0.014)</f>
        <v>6.6000000000000072E-2</v>
      </c>
    </row>
    <row r="558" spans="1:5" ht="34">
      <c r="A558" s="38" t="s">
        <v>958</v>
      </c>
      <c r="B558" s="1" t="s">
        <v>15</v>
      </c>
      <c r="C558" s="2" t="s">
        <v>141</v>
      </c>
      <c r="D558" s="17" t="s">
        <v>591</v>
      </c>
      <c r="E558" s="33">
        <f>4.284-2.11-0.704-0.108-(0.066)-0.532-0.11-0.498-(0.028)</f>
        <v>0.12799999999999981</v>
      </c>
    </row>
    <row r="559" spans="1:5" ht="34">
      <c r="A559" s="38" t="s">
        <v>958</v>
      </c>
      <c r="B559" s="12" t="s">
        <v>15</v>
      </c>
      <c r="C559" s="12" t="s">
        <v>529</v>
      </c>
      <c r="D559" s="17" t="s">
        <v>751</v>
      </c>
      <c r="E559" s="33">
        <f>2.142-1.056-(0.03)-0.182-(0.008)</f>
        <v>0.86599999999999988</v>
      </c>
    </row>
    <row r="560" spans="1:5" ht="34">
      <c r="A560" s="38" t="s">
        <v>958</v>
      </c>
      <c r="B560" s="12" t="s">
        <v>15</v>
      </c>
      <c r="C560" s="12" t="s">
        <v>529</v>
      </c>
      <c r="D560" s="17" t="s">
        <v>698</v>
      </c>
      <c r="E560" s="33">
        <f>2.078-0.692-0.872-0.06-0.142-(0.002)-0.178</f>
        <v>0.13199999999999995</v>
      </c>
    </row>
    <row r="561" spans="1:5" ht="34">
      <c r="A561" s="38" t="s">
        <v>958</v>
      </c>
      <c r="B561" s="12" t="s">
        <v>15</v>
      </c>
      <c r="C561" s="12" t="s">
        <v>529</v>
      </c>
      <c r="D561" s="17" t="s">
        <v>580</v>
      </c>
      <c r="E561" s="33">
        <f>0.104-0.026</f>
        <v>7.8E-2</v>
      </c>
    </row>
    <row r="562" spans="1:5" ht="34">
      <c r="A562" s="38" t="s">
        <v>958</v>
      </c>
      <c r="B562" s="12" t="s">
        <v>15</v>
      </c>
      <c r="C562" s="12" t="s">
        <v>529</v>
      </c>
      <c r="D562" s="17" t="s">
        <v>60</v>
      </c>
      <c r="E562" s="33">
        <f>4.284-2.106</f>
        <v>2.1779999999999999</v>
      </c>
    </row>
    <row r="563" spans="1:5" ht="34">
      <c r="A563" s="38" t="s">
        <v>958</v>
      </c>
      <c r="B563" s="12" t="s">
        <v>15</v>
      </c>
      <c r="C563" s="12" t="s">
        <v>529</v>
      </c>
      <c r="D563" s="17" t="s">
        <v>945</v>
      </c>
      <c r="E563" s="33">
        <f>2.106-1.412-0.19</f>
        <v>0.504</v>
      </c>
    </row>
    <row r="564" spans="1:5" ht="34">
      <c r="A564" s="38" t="s">
        <v>958</v>
      </c>
      <c r="B564" s="12" t="s">
        <v>15</v>
      </c>
      <c r="C564" s="12" t="s">
        <v>529</v>
      </c>
      <c r="D564" s="17" t="s">
        <v>60</v>
      </c>
      <c r="E564" s="33">
        <f>4.284</f>
        <v>4.2839999999999998</v>
      </c>
    </row>
    <row r="565" spans="1:5" ht="34">
      <c r="A565" s="38" t="s">
        <v>958</v>
      </c>
      <c r="B565" s="1" t="s">
        <v>15</v>
      </c>
      <c r="C565" s="2" t="s">
        <v>141</v>
      </c>
      <c r="D565" s="17" t="s">
        <v>624</v>
      </c>
      <c r="E565" s="33">
        <f>5.14-2.502-1.888-(0.118)-0.052-(0.01)-0.47-(0.01)</f>
        <v>8.9999999999999983E-2</v>
      </c>
    </row>
    <row r="566" spans="1:5" ht="34">
      <c r="A566" s="38" t="s">
        <v>958</v>
      </c>
      <c r="B566" s="1" t="s">
        <v>15</v>
      </c>
      <c r="C566" s="2" t="s">
        <v>141</v>
      </c>
      <c r="D566" s="17" t="s">
        <v>290</v>
      </c>
      <c r="E566" s="33">
        <f>10.28-2.57</f>
        <v>7.7099999999999991</v>
      </c>
    </row>
    <row r="567" spans="1:5" ht="34">
      <c r="A567" s="38" t="s">
        <v>958</v>
      </c>
      <c r="B567" s="1" t="s">
        <v>15</v>
      </c>
      <c r="C567" s="2" t="s">
        <v>141</v>
      </c>
      <c r="D567" s="17" t="s">
        <v>837</v>
      </c>
      <c r="E567" s="33">
        <f>2.57-1.272-0.018-0.812-(0.002)-0.314-(0.006)</f>
        <v>0.14599999999999974</v>
      </c>
    </row>
    <row r="568" spans="1:5" ht="34">
      <c r="A568" s="38" t="s">
        <v>958</v>
      </c>
      <c r="B568" s="1" t="s">
        <v>15</v>
      </c>
      <c r="C568" s="2" t="s">
        <v>141</v>
      </c>
      <c r="D568" s="17" t="s">
        <v>946</v>
      </c>
      <c r="E568" s="33">
        <f>2.826-1.412-0.706-(0.01)-0.48</f>
        <v>0.21800000000000019</v>
      </c>
    </row>
    <row r="569" spans="1:5" ht="34">
      <c r="A569" s="38" t="s">
        <v>958</v>
      </c>
      <c r="B569" s="1" t="s">
        <v>15</v>
      </c>
      <c r="C569" s="2" t="s">
        <v>141</v>
      </c>
      <c r="D569" s="17" t="s">
        <v>632</v>
      </c>
      <c r="E569" s="33">
        <f>8.565-2.806-(0.049)-2.798-(0.032)-0.93-(0.094)-0.924-(0.016)-0.572-(0.002)</f>
        <v>0.34199999999999875</v>
      </c>
    </row>
    <row r="570" spans="1:5" ht="34">
      <c r="A570" s="38" t="s">
        <v>958</v>
      </c>
      <c r="B570" s="12" t="s">
        <v>15</v>
      </c>
      <c r="C570" s="12" t="s">
        <v>529</v>
      </c>
      <c r="D570" s="17" t="s">
        <v>563</v>
      </c>
      <c r="E570" s="33">
        <f>2.855-2.25-(0.049)</f>
        <v>0.55599999999999994</v>
      </c>
    </row>
    <row r="571" spans="1:5" ht="34">
      <c r="A571" s="38" t="s">
        <v>958</v>
      </c>
      <c r="B571" s="12" t="s">
        <v>15</v>
      </c>
      <c r="C571" s="12" t="s">
        <v>529</v>
      </c>
      <c r="D571" s="17" t="s">
        <v>623</v>
      </c>
      <c r="E571" s="33">
        <f>2.818-2.258-0.31-(0.01)</f>
        <v>0.24000000000000005</v>
      </c>
    </row>
    <row r="572" spans="1:5" ht="34">
      <c r="A572" s="38" t="s">
        <v>958</v>
      </c>
      <c r="B572" s="12" t="s">
        <v>15</v>
      </c>
      <c r="C572" s="12" t="s">
        <v>529</v>
      </c>
      <c r="D572" s="17" t="s">
        <v>672</v>
      </c>
      <c r="E572" s="33">
        <f>2.877-1.88-(0.059)-0.708</f>
        <v>0.22999999999999998</v>
      </c>
    </row>
    <row r="573" spans="1:5" ht="34">
      <c r="A573" s="38" t="s">
        <v>958</v>
      </c>
      <c r="B573" s="12" t="s">
        <v>15</v>
      </c>
      <c r="C573" s="12" t="s">
        <v>529</v>
      </c>
      <c r="D573" s="17" t="s">
        <v>947</v>
      </c>
      <c r="E573" s="33">
        <f>2.855-1.51-(0.029)-1.012</f>
        <v>0.30400000000000005</v>
      </c>
    </row>
    <row r="574" spans="1:5" ht="34">
      <c r="A574" s="38" t="s">
        <v>958</v>
      </c>
      <c r="B574" s="12" t="s">
        <v>15</v>
      </c>
      <c r="C574" s="12" t="s">
        <v>529</v>
      </c>
      <c r="D574" s="17" t="s">
        <v>273</v>
      </c>
      <c r="E574" s="33">
        <f>5.71</f>
        <v>5.71</v>
      </c>
    </row>
    <row r="575" spans="1:5" ht="34">
      <c r="A575" s="38" t="s">
        <v>958</v>
      </c>
      <c r="B575" s="12" t="s">
        <v>15</v>
      </c>
      <c r="C575" s="12" t="s">
        <v>12</v>
      </c>
      <c r="D575" s="17" t="s">
        <v>583</v>
      </c>
      <c r="E575" s="33">
        <f>3.35-2.1-0.012-0.14-(0.016)-0.224-(0.002)-0.336-0.144-(0.004)-0.17-(0.004)</f>
        <v>0.19799999999999976</v>
      </c>
    </row>
    <row r="576" spans="1:5" ht="34">
      <c r="A576" s="38" t="s">
        <v>958</v>
      </c>
      <c r="B576" s="12" t="s">
        <v>15</v>
      </c>
      <c r="C576" s="12" t="s">
        <v>12</v>
      </c>
      <c r="D576" s="17" t="s">
        <v>809</v>
      </c>
      <c r="E576" s="33">
        <f>6.52-3.298-0.866+(0.022)-0.924-0.358-0.458-0.162-(0.014)</f>
        <v>0.46199999999999919</v>
      </c>
    </row>
    <row r="577" spans="1:5" ht="34">
      <c r="A577" s="38" t="s">
        <v>958</v>
      </c>
      <c r="B577" s="12" t="s">
        <v>15</v>
      </c>
      <c r="C577" s="12" t="s">
        <v>12</v>
      </c>
      <c r="D577" s="17" t="s">
        <v>691</v>
      </c>
      <c r="E577" s="33">
        <f>3.159-1.602-(0.005)</f>
        <v>1.5519999999999998</v>
      </c>
    </row>
    <row r="578" spans="1:5" ht="34">
      <c r="A578" s="38" t="s">
        <v>958</v>
      </c>
      <c r="B578" s="12" t="s">
        <v>15</v>
      </c>
      <c r="C578" s="12" t="s">
        <v>12</v>
      </c>
      <c r="D578" s="17" t="s">
        <v>280</v>
      </c>
      <c r="E578" s="33">
        <f>6.424</f>
        <v>6.4240000000000004</v>
      </c>
    </row>
    <row r="579" spans="1:5" ht="34">
      <c r="A579" s="38" t="s">
        <v>958</v>
      </c>
      <c r="B579" s="1" t="s">
        <v>15</v>
      </c>
      <c r="C579" s="2" t="s">
        <v>141</v>
      </c>
      <c r="D579" s="17" t="s">
        <v>589</v>
      </c>
      <c r="E579" s="33">
        <f>3.569-1.512-0.91+(0.059)-0.908</f>
        <v>0.29799999999999971</v>
      </c>
    </row>
    <row r="580" spans="1:5" ht="34">
      <c r="A580" s="38" t="s">
        <v>958</v>
      </c>
      <c r="B580" s="1" t="s">
        <v>15</v>
      </c>
      <c r="C580" s="2" t="s">
        <v>141</v>
      </c>
      <c r="D580" s="17" t="s">
        <v>948</v>
      </c>
      <c r="E580" s="33">
        <f>3.51-0.882-(0.028)-1.18-(0.006)-0.892-(0.002)-0.25</f>
        <v>0.26999999999999968</v>
      </c>
    </row>
    <row r="581" spans="1:5" ht="34">
      <c r="A581" s="38" t="s">
        <v>958</v>
      </c>
      <c r="B581" s="1" t="s">
        <v>15</v>
      </c>
      <c r="C581" s="2" t="s">
        <v>141</v>
      </c>
      <c r="D581" s="17" t="s">
        <v>647</v>
      </c>
      <c r="E581" s="33">
        <f>3.569-2.386+(0.009)-0.184</f>
        <v>1.0079999999999998</v>
      </c>
    </row>
    <row r="582" spans="1:5" ht="34">
      <c r="A582" s="38" t="s">
        <v>958</v>
      </c>
      <c r="B582" s="1" t="s">
        <v>15</v>
      </c>
      <c r="C582" s="2" t="s">
        <v>414</v>
      </c>
      <c r="D582" s="17" t="s">
        <v>806</v>
      </c>
      <c r="E582" s="33">
        <f>3.75-0.906-(0.126)-1.212-1.216-(0.002)</f>
        <v>0.28800000000000003</v>
      </c>
    </row>
    <row r="583" spans="1:5" ht="34">
      <c r="A583" s="38" t="s">
        <v>958</v>
      </c>
      <c r="B583" s="1" t="s">
        <v>15</v>
      </c>
      <c r="C583" s="2" t="s">
        <v>529</v>
      </c>
      <c r="D583" s="17" t="s">
        <v>949</v>
      </c>
      <c r="E583" s="33">
        <f>3.674-1.226-1.54</f>
        <v>0.90799999999999992</v>
      </c>
    </row>
    <row r="584" spans="1:5" ht="34">
      <c r="A584" s="38" t="s">
        <v>958</v>
      </c>
      <c r="B584" s="1" t="s">
        <v>15</v>
      </c>
      <c r="C584" s="2" t="s">
        <v>529</v>
      </c>
      <c r="D584" s="17" t="s">
        <v>260</v>
      </c>
      <c r="E584" s="33">
        <f>3.76</f>
        <v>3.76</v>
      </c>
    </row>
    <row r="585" spans="1:5" ht="34">
      <c r="A585" s="38" t="s">
        <v>958</v>
      </c>
      <c r="B585" s="1" t="s">
        <v>15</v>
      </c>
      <c r="C585" s="2" t="s">
        <v>141</v>
      </c>
      <c r="D585" s="17" t="s">
        <v>701</v>
      </c>
      <c r="E585" s="33">
        <f>4.5-2.24-(0.02)-0.744-(0.008)-1.116-(0.02)</f>
        <v>0.35199999999999965</v>
      </c>
    </row>
    <row r="586" spans="1:5" ht="34">
      <c r="A586" s="38" t="s">
        <v>958</v>
      </c>
      <c r="B586" s="1" t="s">
        <v>15</v>
      </c>
      <c r="C586" s="2" t="s">
        <v>141</v>
      </c>
      <c r="D586" s="17" t="s">
        <v>427</v>
      </c>
      <c r="E586" s="33">
        <f>4.5-2.246-0.94-1.046-(0.006)</f>
        <v>0.26200000000000001</v>
      </c>
    </row>
    <row r="587" spans="1:5" ht="34">
      <c r="A587" s="38" t="s">
        <v>958</v>
      </c>
      <c r="B587" s="1" t="s">
        <v>15</v>
      </c>
      <c r="C587" s="2" t="s">
        <v>141</v>
      </c>
      <c r="D587" s="17" t="s">
        <v>581</v>
      </c>
      <c r="E587" s="33">
        <f>0.27-0.136-0.096</f>
        <v>3.8000000000000006E-2</v>
      </c>
    </row>
    <row r="588" spans="1:5" ht="34">
      <c r="A588" s="38" t="s">
        <v>958</v>
      </c>
      <c r="B588" s="1" t="s">
        <v>15</v>
      </c>
      <c r="C588" s="2" t="s">
        <v>141</v>
      </c>
      <c r="D588" s="17" t="s">
        <v>314</v>
      </c>
      <c r="E588" s="33">
        <f>4.56-2.292+(0.04)</f>
        <v>2.3079999999999998</v>
      </c>
    </row>
    <row r="589" spans="1:5" ht="34">
      <c r="A589" s="38" t="s">
        <v>958</v>
      </c>
      <c r="B589" s="1" t="s">
        <v>15</v>
      </c>
      <c r="C589" s="2" t="s">
        <v>529</v>
      </c>
      <c r="D589" s="17" t="s">
        <v>242</v>
      </c>
      <c r="E589" s="33">
        <f>4.56</f>
        <v>4.5599999999999996</v>
      </c>
    </row>
    <row r="590" spans="1:5" ht="34">
      <c r="A590" s="38" t="s">
        <v>958</v>
      </c>
      <c r="B590" s="1" t="s">
        <v>15</v>
      </c>
      <c r="C590" s="2" t="s">
        <v>141</v>
      </c>
      <c r="D590" s="17" t="s">
        <v>794</v>
      </c>
      <c r="E590" s="31">
        <f>5.132-2.634+(0.11)-0.438</f>
        <v>2.1699999999999995</v>
      </c>
    </row>
    <row r="591" spans="1:5" ht="34">
      <c r="A591" s="38" t="s">
        <v>958</v>
      </c>
      <c r="B591" s="1" t="s">
        <v>15</v>
      </c>
      <c r="C591" s="2" t="s">
        <v>141</v>
      </c>
      <c r="D591" s="17" t="s">
        <v>950</v>
      </c>
      <c r="E591" s="31">
        <f>5.32-2.67</f>
        <v>2.6500000000000004</v>
      </c>
    </row>
    <row r="592" spans="1:5" ht="34">
      <c r="A592" s="38" t="s">
        <v>958</v>
      </c>
      <c r="B592" s="1" t="s">
        <v>15</v>
      </c>
      <c r="C592" s="2" t="s">
        <v>12</v>
      </c>
      <c r="D592" s="17" t="s">
        <v>298</v>
      </c>
      <c r="E592" s="31">
        <f>3.08-2.384-(0.026)-0.208</f>
        <v>0.46200000000000019</v>
      </c>
    </row>
    <row r="593" spans="1:5" ht="34">
      <c r="A593" s="38" t="s">
        <v>958</v>
      </c>
      <c r="B593" s="1" t="s">
        <v>15</v>
      </c>
      <c r="C593" s="2" t="s">
        <v>12</v>
      </c>
      <c r="D593" s="17" t="s">
        <v>808</v>
      </c>
      <c r="E593" s="31">
        <f>2.894-1.274-0.72-0.092-(0.02)</f>
        <v>0.78800000000000014</v>
      </c>
    </row>
    <row r="594" spans="1:5" ht="34">
      <c r="A594" s="38" t="s">
        <v>958</v>
      </c>
      <c r="B594" s="1" t="s">
        <v>15</v>
      </c>
      <c r="C594" s="2" t="s">
        <v>12</v>
      </c>
      <c r="D594" s="17" t="s">
        <v>471</v>
      </c>
      <c r="E594" s="31">
        <f>1.274</f>
        <v>1.274</v>
      </c>
    </row>
    <row r="595" spans="1:5" ht="34">
      <c r="A595" s="38" t="s">
        <v>958</v>
      </c>
      <c r="B595" s="1" t="s">
        <v>15</v>
      </c>
      <c r="C595" s="2" t="s">
        <v>12</v>
      </c>
      <c r="D595" s="17" t="s">
        <v>411</v>
      </c>
      <c r="E595" s="31">
        <f>5.865-0.982+(0.087)-2.986-1.488-(0.022)</f>
        <v>0.47399999999999953</v>
      </c>
    </row>
    <row r="596" spans="1:5" ht="34">
      <c r="A596" s="38" t="s">
        <v>958</v>
      </c>
      <c r="B596" s="1" t="s">
        <v>15</v>
      </c>
      <c r="C596" s="2" t="s">
        <v>141</v>
      </c>
      <c r="D596" s="17" t="s">
        <v>380</v>
      </c>
      <c r="E596" s="31">
        <f>5.865-0.162+(0.003)-1.48-1.476-1.374-0.986</f>
        <v>0.39000000000000079</v>
      </c>
    </row>
    <row r="597" spans="1:5" ht="34">
      <c r="A597" s="38" t="s">
        <v>958</v>
      </c>
      <c r="B597" s="1" t="s">
        <v>15</v>
      </c>
      <c r="C597" s="2" t="s">
        <v>141</v>
      </c>
      <c r="D597" s="17" t="s">
        <v>951</v>
      </c>
      <c r="E597" s="31">
        <f>11.73-5.865-1.572+(0.153)-1.012</f>
        <v>3.4339999999999997</v>
      </c>
    </row>
    <row r="598" spans="1:5" ht="34">
      <c r="A598" s="38" t="s">
        <v>958</v>
      </c>
      <c r="B598" s="1" t="s">
        <v>15</v>
      </c>
      <c r="C598" s="2" t="s">
        <v>141</v>
      </c>
      <c r="D598" s="17" t="s">
        <v>319</v>
      </c>
      <c r="E598" s="31">
        <f>6.26</f>
        <v>6.26</v>
      </c>
    </row>
    <row r="599" spans="1:5" ht="34">
      <c r="A599" s="38" t="s">
        <v>958</v>
      </c>
      <c r="B599" s="1" t="s">
        <v>15</v>
      </c>
      <c r="C599" s="2" t="s">
        <v>863</v>
      </c>
      <c r="D599" s="17" t="s">
        <v>319</v>
      </c>
      <c r="E599" s="31">
        <f>18.09</f>
        <v>18.09</v>
      </c>
    </row>
    <row r="600" spans="1:5" ht="34">
      <c r="A600" s="38" t="s">
        <v>958</v>
      </c>
      <c r="B600" s="12" t="s">
        <v>15</v>
      </c>
      <c r="C600" s="12" t="s">
        <v>371</v>
      </c>
      <c r="D600" s="17" t="s">
        <v>761</v>
      </c>
      <c r="E600" s="31">
        <f>9.58-4.782-0.842+(0.006)</f>
        <v>3.9619999999999997</v>
      </c>
    </row>
    <row r="601" spans="1:5" ht="34">
      <c r="A601" s="38" t="s">
        <v>958</v>
      </c>
      <c r="B601" s="1" t="s">
        <v>15</v>
      </c>
      <c r="C601" s="12" t="s">
        <v>371</v>
      </c>
      <c r="D601" s="17" t="s">
        <v>560</v>
      </c>
      <c r="E601" s="31">
        <f>4.782-2.706-1.126-(0.026)-0.454-(0.006)</f>
        <v>0.46400000000000013</v>
      </c>
    </row>
    <row r="602" spans="1:5" ht="34">
      <c r="A602" s="38" t="s">
        <v>958</v>
      </c>
      <c r="B602" s="1" t="s">
        <v>15</v>
      </c>
      <c r="C602" s="2" t="s">
        <v>141</v>
      </c>
      <c r="D602" s="17" t="s">
        <v>702</v>
      </c>
      <c r="E602" s="31">
        <f>6.598-3.342+(0.11)-1.112</f>
        <v>2.2539999999999996</v>
      </c>
    </row>
    <row r="603" spans="1:5" ht="34">
      <c r="A603" s="38" t="s">
        <v>958</v>
      </c>
      <c r="B603" s="1" t="s">
        <v>15</v>
      </c>
      <c r="C603" s="2" t="s">
        <v>141</v>
      </c>
      <c r="D603" s="17" t="s">
        <v>718</v>
      </c>
      <c r="E603" s="31">
        <f>6.598-3.314+(0.062)</f>
        <v>3.3459999999999996</v>
      </c>
    </row>
    <row r="604" spans="1:5" ht="34">
      <c r="A604" s="38" t="s">
        <v>958</v>
      </c>
      <c r="B604" s="1" t="s">
        <v>15</v>
      </c>
      <c r="C604" s="2" t="s">
        <v>141</v>
      </c>
      <c r="D604" s="17" t="s">
        <v>295</v>
      </c>
      <c r="E604" s="31">
        <f>13.57</f>
        <v>13.57</v>
      </c>
    </row>
    <row r="605" spans="1:5" ht="34">
      <c r="A605" s="38" t="s">
        <v>958</v>
      </c>
      <c r="B605" s="12" t="s">
        <v>15</v>
      </c>
      <c r="C605" s="12" t="s">
        <v>141</v>
      </c>
      <c r="D605" s="17" t="s">
        <v>735</v>
      </c>
      <c r="E605" s="33">
        <f>14.662-7.331-1.89+(0.204)-1.488-(0.071)-3.724-(0.008)</f>
        <v>0.35400000000000009</v>
      </c>
    </row>
    <row r="606" spans="1:5" ht="34">
      <c r="A606" s="38" t="s">
        <v>958</v>
      </c>
      <c r="B606" s="12" t="s">
        <v>15</v>
      </c>
      <c r="C606" s="12" t="s">
        <v>141</v>
      </c>
      <c r="D606" s="17" t="s">
        <v>952</v>
      </c>
      <c r="E606" s="33">
        <f>7.331-3.342+(0.109)-0.306-(0.004)-3.2</f>
        <v>0.58800000000000052</v>
      </c>
    </row>
    <row r="607" spans="1:5" ht="34">
      <c r="A607" s="38" t="s">
        <v>958</v>
      </c>
      <c r="B607" s="12" t="s">
        <v>15</v>
      </c>
      <c r="C607" s="12" t="s">
        <v>141</v>
      </c>
      <c r="D607" s="17" t="s">
        <v>478</v>
      </c>
      <c r="E607" s="33">
        <f>7.331</f>
        <v>7.3310000000000004</v>
      </c>
    </row>
    <row r="608" spans="1:5" ht="34">
      <c r="A608" s="38" t="s">
        <v>958</v>
      </c>
      <c r="B608" s="12" t="s">
        <v>15</v>
      </c>
      <c r="C608" s="12" t="s">
        <v>141</v>
      </c>
      <c r="D608" s="17" t="s">
        <v>478</v>
      </c>
      <c r="E608" s="33">
        <f>15.09</f>
        <v>15.09</v>
      </c>
    </row>
    <row r="609" spans="1:5" ht="34">
      <c r="A609" s="38" t="s">
        <v>958</v>
      </c>
      <c r="B609" s="12" t="s">
        <v>15</v>
      </c>
      <c r="C609" s="12" t="s">
        <v>141</v>
      </c>
      <c r="D609" s="12" t="s">
        <v>731</v>
      </c>
      <c r="E609" s="33">
        <f>8.146-4.144+(0.174)-0.71-(0.004)</f>
        <v>3.4620000000000011</v>
      </c>
    </row>
    <row r="610" spans="1:5" ht="34">
      <c r="A610" s="38" t="s">
        <v>958</v>
      </c>
      <c r="B610" s="1" t="s">
        <v>15</v>
      </c>
      <c r="C610" s="2" t="s">
        <v>371</v>
      </c>
      <c r="D610" s="17" t="s">
        <v>426</v>
      </c>
      <c r="E610" s="33">
        <f>4.82-4.236+(0.04)</f>
        <v>0.62400000000000055</v>
      </c>
    </row>
    <row r="611" spans="1:5" ht="34">
      <c r="A611" s="38" t="s">
        <v>958</v>
      </c>
      <c r="B611" s="1" t="s">
        <v>15</v>
      </c>
      <c r="C611" s="2" t="s">
        <v>371</v>
      </c>
      <c r="D611" s="17" t="s">
        <v>792</v>
      </c>
      <c r="E611" s="33">
        <f>4.82-0.91</f>
        <v>3.91</v>
      </c>
    </row>
    <row r="612" spans="1:5" ht="34">
      <c r="A612" s="38" t="s">
        <v>958</v>
      </c>
      <c r="B612" s="1" t="s">
        <v>15</v>
      </c>
      <c r="C612" s="2" t="s">
        <v>414</v>
      </c>
      <c r="D612" s="17" t="s">
        <v>480</v>
      </c>
      <c r="E612" s="33">
        <f>8.886</f>
        <v>8.8859999999999992</v>
      </c>
    </row>
    <row r="613" spans="1:5" ht="34">
      <c r="A613" s="38" t="s">
        <v>958</v>
      </c>
      <c r="B613" s="1" t="s">
        <v>15</v>
      </c>
      <c r="C613" s="2" t="s">
        <v>141</v>
      </c>
      <c r="D613" s="17" t="s">
        <v>793</v>
      </c>
      <c r="E613" s="35">
        <f>19.254-9.627-4.816+0.031-0.754-0.01-1.192-0.16-0.01</f>
        <v>2.7160000000000011</v>
      </c>
    </row>
    <row r="614" spans="1:5" ht="34">
      <c r="A614" s="38" t="s">
        <v>958</v>
      </c>
      <c r="B614" s="1" t="s">
        <v>15</v>
      </c>
      <c r="C614" s="2" t="s">
        <v>141</v>
      </c>
      <c r="D614" s="17" t="s">
        <v>483</v>
      </c>
      <c r="E614" s="35">
        <f>20.15-10.06</f>
        <v>10.089999999999998</v>
      </c>
    </row>
    <row r="615" spans="1:5" ht="34">
      <c r="A615" s="38" t="s">
        <v>958</v>
      </c>
      <c r="B615" s="1" t="s">
        <v>15</v>
      </c>
      <c r="C615" s="2" t="s">
        <v>141</v>
      </c>
      <c r="D615" s="17" t="s">
        <v>276</v>
      </c>
      <c r="E615" s="34">
        <f>0.75-0.216-0.21-(0.024)-0.216</f>
        <v>8.4000000000000047E-2</v>
      </c>
    </row>
    <row r="616" spans="1:5" ht="34">
      <c r="A616" s="38" t="s">
        <v>958</v>
      </c>
      <c r="B616" s="12" t="s">
        <v>15</v>
      </c>
      <c r="C616" s="12" t="s">
        <v>141</v>
      </c>
      <c r="D616" s="17" t="s">
        <v>953</v>
      </c>
      <c r="E616" s="33">
        <f>9.728-4.208-0.656-0.044-0.99-(0.006)</f>
        <v>3.8240000000000003</v>
      </c>
    </row>
    <row r="617" spans="1:5" ht="34">
      <c r="A617" s="38" t="s">
        <v>958</v>
      </c>
      <c r="B617" s="12" t="s">
        <v>15</v>
      </c>
      <c r="C617" s="12" t="s">
        <v>141</v>
      </c>
      <c r="D617" s="17" t="s">
        <v>481</v>
      </c>
      <c r="E617" s="33">
        <f>4.208</f>
        <v>4.2080000000000002</v>
      </c>
    </row>
    <row r="618" spans="1:5" ht="34">
      <c r="A618" s="38" t="s">
        <v>958</v>
      </c>
      <c r="B618" s="1" t="s">
        <v>15</v>
      </c>
      <c r="C618" s="2" t="s">
        <v>141</v>
      </c>
      <c r="D618" s="17" t="s">
        <v>893</v>
      </c>
      <c r="E618" s="33">
        <f>18.536-9.268-0.948+(0.053)-5.595</f>
        <v>2.7780000000000014</v>
      </c>
    </row>
    <row r="619" spans="1:5" ht="34">
      <c r="A619" s="38" t="s">
        <v>958</v>
      </c>
      <c r="B619" s="1" t="s">
        <v>15</v>
      </c>
      <c r="C619" s="2" t="s">
        <v>141</v>
      </c>
      <c r="D619" s="12" t="s">
        <v>410</v>
      </c>
      <c r="E619" s="29">
        <f>6.9-3.578+(0.058)-0.428-0.898</f>
        <v>2.0540000000000003</v>
      </c>
    </row>
    <row r="620" spans="1:5" ht="34">
      <c r="A620" s="38" t="s">
        <v>958</v>
      </c>
      <c r="B620" s="1" t="s">
        <v>15</v>
      </c>
      <c r="C620" s="2" t="s">
        <v>414</v>
      </c>
      <c r="D620" s="17" t="s">
        <v>812</v>
      </c>
      <c r="E620" s="33">
        <f>9.886-2.73+(0.324)</f>
        <v>7.4799999999999986</v>
      </c>
    </row>
    <row r="621" spans="1:5" ht="34">
      <c r="A621" s="38" t="s">
        <v>958</v>
      </c>
      <c r="B621" s="1" t="s">
        <v>15</v>
      </c>
      <c r="C621" s="2" t="s">
        <v>414</v>
      </c>
      <c r="D621" s="17" t="s">
        <v>840</v>
      </c>
      <c r="E621" s="33">
        <f>18.57-9.26</f>
        <v>9.31</v>
      </c>
    </row>
    <row r="622" spans="1:5" ht="34">
      <c r="A622" s="38" t="s">
        <v>958</v>
      </c>
      <c r="B622" s="1" t="s">
        <v>70</v>
      </c>
      <c r="C622" s="2" t="s">
        <v>97</v>
      </c>
      <c r="D622" s="15" t="s">
        <v>9</v>
      </c>
      <c r="E622" s="30">
        <f>1.05-0.524-0.068-0.196-0.195</f>
        <v>6.7000000000000004E-2</v>
      </c>
    </row>
    <row r="623" spans="1:5" ht="34">
      <c r="A623" s="38" t="s">
        <v>958</v>
      </c>
      <c r="B623" s="1" t="s">
        <v>70</v>
      </c>
      <c r="C623" s="2" t="s">
        <v>97</v>
      </c>
      <c r="D623" s="15" t="s">
        <v>96</v>
      </c>
      <c r="E623" s="28">
        <f>0.955-0.16</f>
        <v>0.79499999999999993</v>
      </c>
    </row>
    <row r="624" spans="1:5" ht="34">
      <c r="A624" s="38" t="s">
        <v>958</v>
      </c>
      <c r="B624" s="3" t="s">
        <v>70</v>
      </c>
      <c r="C624" s="4" t="s">
        <v>97</v>
      </c>
      <c r="D624" s="19" t="s">
        <v>135</v>
      </c>
      <c r="E624" s="36">
        <f>2.24-0.16</f>
        <v>2.08</v>
      </c>
    </row>
    <row r="625" spans="1:5" ht="34">
      <c r="A625" s="39" t="s">
        <v>959</v>
      </c>
      <c r="B625" s="1" t="s">
        <v>14</v>
      </c>
      <c r="C625" s="1" t="s">
        <v>151</v>
      </c>
      <c r="D625" s="5" t="s">
        <v>7</v>
      </c>
      <c r="E625" s="28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26" spans="1:5" ht="34">
      <c r="A626" s="39" t="s">
        <v>959</v>
      </c>
      <c r="B626" s="1" t="s">
        <v>14</v>
      </c>
      <c r="C626" s="1" t="s">
        <v>492</v>
      </c>
      <c r="D626" s="5" t="s">
        <v>7</v>
      </c>
      <c r="E626" s="28">
        <f>3.432-0.416-0.032-0.032-0.064-0.067-0.034-0.232-0.329-0.032-0.194-0.032-0.032-0.034-0.064-0.034</f>
        <v>1.8039999999999994</v>
      </c>
    </row>
    <row r="627" spans="1:5" ht="34">
      <c r="A627" s="39" t="s">
        <v>959</v>
      </c>
      <c r="B627" s="1" t="s">
        <v>14</v>
      </c>
      <c r="C627" s="1" t="s">
        <v>492</v>
      </c>
      <c r="D627" s="5" t="s">
        <v>7</v>
      </c>
      <c r="E627" s="28">
        <f>0.63</f>
        <v>0.63</v>
      </c>
    </row>
    <row r="628" spans="1:5" ht="34">
      <c r="A628" s="39" t="s">
        <v>959</v>
      </c>
      <c r="B628" s="1" t="s">
        <v>14</v>
      </c>
      <c r="C628" s="1" t="s">
        <v>151</v>
      </c>
      <c r="D628" s="5" t="s">
        <v>8</v>
      </c>
      <c r="E628" s="28">
        <f>4.64-0.476-0.292-0.048-0.144-0.48-0.05-0.048-0.388-0.05-0.732-0.098-0.146-0.049-0.05-0.048-0.049-0.048-0.048-0.048-0.096-0.482-0.048-0.048-0.146-0.144-0.144-0.096-0.048-0.048-0.046</f>
        <v>1.9999999999999046E-3</v>
      </c>
    </row>
    <row r="629" spans="1:5" ht="34">
      <c r="A629" s="39" t="s">
        <v>959</v>
      </c>
      <c r="B629" s="1" t="s">
        <v>14</v>
      </c>
      <c r="C629" s="1" t="s">
        <v>492</v>
      </c>
      <c r="D629" s="5" t="s">
        <v>8</v>
      </c>
      <c r="E629" s="28">
        <f>4.06-0.089-0.402-0.315-0.455-0.046-0.14-0.61-0.315-0.576</f>
        <v>1.1119999999999997</v>
      </c>
    </row>
    <row r="630" spans="1:5" ht="34">
      <c r="A630" s="39" t="s">
        <v>959</v>
      </c>
      <c r="B630" s="1" t="s">
        <v>14</v>
      </c>
      <c r="C630" s="1" t="s">
        <v>492</v>
      </c>
      <c r="D630" s="5" t="s">
        <v>9</v>
      </c>
      <c r="E630" s="28">
        <f>3.99-0.996-0.308-0.931-0.064-0.308-0.756</f>
        <v>0.62700000000000022</v>
      </c>
    </row>
    <row r="631" spans="1:5" ht="34">
      <c r="A631" s="39" t="s">
        <v>959</v>
      </c>
      <c r="B631" s="1" t="s">
        <v>14</v>
      </c>
      <c r="C631" s="1" t="s">
        <v>492</v>
      </c>
      <c r="D631" s="5" t="s">
        <v>9</v>
      </c>
      <c r="E631" s="28">
        <f>9.2</f>
        <v>9.1999999999999993</v>
      </c>
    </row>
    <row r="632" spans="1:5" ht="34">
      <c r="A632" s="39" t="s">
        <v>959</v>
      </c>
      <c r="B632" s="1" t="s">
        <v>14</v>
      </c>
      <c r="C632" s="1" t="s">
        <v>291</v>
      </c>
      <c r="D632" s="5" t="s">
        <v>88</v>
      </c>
      <c r="E632" s="28">
        <f>4.47-0.69-0.342-0.338-0.345-0.344-0.35-1.06</f>
        <v>1.0009999999999999</v>
      </c>
    </row>
    <row r="633" spans="1:5" ht="34">
      <c r="A633" s="39" t="s">
        <v>959</v>
      </c>
      <c r="B633" s="1" t="s">
        <v>14</v>
      </c>
      <c r="C633" s="1" t="s">
        <v>291</v>
      </c>
      <c r="D633" s="5" t="s">
        <v>752</v>
      </c>
      <c r="E633" s="28">
        <f>0.342-0.098-0.17-(0.002)</f>
        <v>7.2000000000000008E-2</v>
      </c>
    </row>
    <row r="634" spans="1:5" ht="34">
      <c r="A634" s="39" t="s">
        <v>959</v>
      </c>
      <c r="B634" s="1" t="s">
        <v>14</v>
      </c>
      <c r="C634" s="1" t="s">
        <v>291</v>
      </c>
      <c r="D634" s="5" t="s">
        <v>724</v>
      </c>
      <c r="E634" s="28">
        <f>0.35-0.116-0.176</f>
        <v>5.7999999999999996E-2</v>
      </c>
    </row>
    <row r="635" spans="1:5" ht="34">
      <c r="A635" s="39" t="s">
        <v>959</v>
      </c>
      <c r="B635" s="1" t="s">
        <v>14</v>
      </c>
      <c r="C635" s="1" t="s">
        <v>291</v>
      </c>
      <c r="D635" s="5" t="s">
        <v>827</v>
      </c>
      <c r="E635" s="28">
        <f>0.345-0.232</f>
        <v>0.11299999999999996</v>
      </c>
    </row>
    <row r="636" spans="1:5" ht="34">
      <c r="A636" s="39" t="s">
        <v>959</v>
      </c>
      <c r="B636" s="1" t="s">
        <v>14</v>
      </c>
      <c r="C636" s="1" t="s">
        <v>291</v>
      </c>
      <c r="D636" s="5" t="s">
        <v>828</v>
      </c>
      <c r="E636" s="28">
        <f>0.344-0.117</f>
        <v>0.22699999999999998</v>
      </c>
    </row>
    <row r="637" spans="1:5" ht="34">
      <c r="A637" s="39" t="s">
        <v>959</v>
      </c>
      <c r="B637" s="1" t="s">
        <v>14</v>
      </c>
      <c r="C637" s="1" t="s">
        <v>291</v>
      </c>
      <c r="D637" s="5" t="s">
        <v>88</v>
      </c>
      <c r="E637" s="28">
        <f>3.89-1.762</f>
        <v>2.1280000000000001</v>
      </c>
    </row>
    <row r="638" spans="1:5" ht="34">
      <c r="A638" s="39" t="s">
        <v>959</v>
      </c>
      <c r="B638" s="1" t="s">
        <v>14</v>
      </c>
      <c r="C638" s="1" t="s">
        <v>291</v>
      </c>
      <c r="D638" s="5" t="s">
        <v>528</v>
      </c>
      <c r="E638" s="28">
        <f>4.2-0.822-0.42-0.426-0.424-1.275</f>
        <v>0.83300000000000018</v>
      </c>
    </row>
    <row r="639" spans="1:5" ht="34">
      <c r="A639" s="39" t="s">
        <v>959</v>
      </c>
      <c r="B639" s="1" t="s">
        <v>14</v>
      </c>
      <c r="C639" s="1" t="s">
        <v>291</v>
      </c>
      <c r="D639" s="5" t="s">
        <v>753</v>
      </c>
      <c r="E639" s="28">
        <f>0.42-0.138</f>
        <v>0.28199999999999997</v>
      </c>
    </row>
    <row r="640" spans="1:5" ht="34">
      <c r="A640" s="39" t="s">
        <v>959</v>
      </c>
      <c r="B640" s="1" t="s">
        <v>14</v>
      </c>
      <c r="C640" s="1" t="s">
        <v>291</v>
      </c>
      <c r="D640" s="5" t="s">
        <v>49</v>
      </c>
      <c r="E640" s="28">
        <f>1.26-0.842</f>
        <v>0.41800000000000004</v>
      </c>
    </row>
    <row r="641" spans="1:5" ht="34">
      <c r="A641" s="39" t="s">
        <v>959</v>
      </c>
      <c r="B641" s="1" t="s">
        <v>14</v>
      </c>
      <c r="C641" s="1" t="s">
        <v>291</v>
      </c>
      <c r="D641" s="5" t="s">
        <v>528</v>
      </c>
      <c r="E641" s="28">
        <f>1.68</f>
        <v>1.68</v>
      </c>
    </row>
    <row r="642" spans="1:5" ht="34">
      <c r="A642" s="39" t="s">
        <v>959</v>
      </c>
      <c r="B642" s="1" t="s">
        <v>14</v>
      </c>
      <c r="C642" s="1" t="s">
        <v>291</v>
      </c>
      <c r="D642" s="5" t="s">
        <v>741</v>
      </c>
      <c r="E642" s="28">
        <f>4.37-1.079-0.524-0.552-0.55-0.554-0.554-0.418-(0.005)</f>
        <v>0.13400000000000017</v>
      </c>
    </row>
    <row r="643" spans="1:5" ht="34">
      <c r="A643" s="39" t="s">
        <v>959</v>
      </c>
      <c r="B643" s="1" t="s">
        <v>14</v>
      </c>
      <c r="C643" s="1" t="s">
        <v>291</v>
      </c>
      <c r="D643" s="5" t="s">
        <v>729</v>
      </c>
      <c r="E643" s="28">
        <f>0.554-0.278-0.186+(0.002)</f>
        <v>9.2000000000000026E-2</v>
      </c>
    </row>
    <row r="644" spans="1:5" ht="34">
      <c r="A644" s="39" t="s">
        <v>959</v>
      </c>
      <c r="B644" s="1" t="s">
        <v>14</v>
      </c>
      <c r="C644" s="1" t="s">
        <v>291</v>
      </c>
      <c r="D644" s="5" t="s">
        <v>678</v>
      </c>
      <c r="E644" s="28">
        <f>0.552-0.186-0.276-(0.002)</f>
        <v>8.8000000000000023E-2</v>
      </c>
    </row>
    <row r="645" spans="1:5" ht="34">
      <c r="A645" s="39" t="s">
        <v>959</v>
      </c>
      <c r="B645" s="1" t="s">
        <v>14</v>
      </c>
      <c r="C645" s="1" t="s">
        <v>291</v>
      </c>
      <c r="D645" s="5" t="s">
        <v>778</v>
      </c>
      <c r="E645" s="28">
        <f>0.554-0.278-0.186</f>
        <v>9.0000000000000024E-2</v>
      </c>
    </row>
    <row r="646" spans="1:5" ht="34">
      <c r="A646" s="39" t="s">
        <v>959</v>
      </c>
      <c r="B646" s="1" t="s">
        <v>14</v>
      </c>
      <c r="C646" s="1" t="s">
        <v>291</v>
      </c>
      <c r="D646" s="5" t="s">
        <v>457</v>
      </c>
      <c r="E646" s="28">
        <f>1.1-0.561</f>
        <v>0.53900000000000003</v>
      </c>
    </row>
    <row r="647" spans="1:5" ht="34">
      <c r="A647" s="39" t="s">
        <v>959</v>
      </c>
      <c r="B647" s="1" t="s">
        <v>14</v>
      </c>
      <c r="C647" s="1" t="s">
        <v>291</v>
      </c>
      <c r="D647" s="5" t="s">
        <v>434</v>
      </c>
      <c r="E647" s="28">
        <f>0.561-0.376</f>
        <v>0.18500000000000005</v>
      </c>
    </row>
    <row r="648" spans="1:5" ht="34">
      <c r="A648" s="39" t="s">
        <v>959</v>
      </c>
      <c r="B648" s="1" t="s">
        <v>14</v>
      </c>
      <c r="C648" s="1" t="s">
        <v>291</v>
      </c>
      <c r="D648" s="5" t="s">
        <v>22</v>
      </c>
      <c r="E648" s="28">
        <f>6.67-0.556-0.557-1.114-0.56-0.56-2.83</f>
        <v>0.49299999999999944</v>
      </c>
    </row>
    <row r="649" spans="1:5" ht="34">
      <c r="A649" s="39" t="s">
        <v>959</v>
      </c>
      <c r="B649" s="1" t="s">
        <v>14</v>
      </c>
      <c r="C649" s="1" t="s">
        <v>291</v>
      </c>
      <c r="D649" s="5" t="s">
        <v>871</v>
      </c>
      <c r="E649" s="28">
        <f>0.557-0.279</f>
        <v>0.27800000000000002</v>
      </c>
    </row>
    <row r="650" spans="1:5" ht="34">
      <c r="A650" s="39" t="s">
        <v>959</v>
      </c>
      <c r="B650" s="1" t="s">
        <v>14</v>
      </c>
      <c r="C650" s="1" t="s">
        <v>291</v>
      </c>
      <c r="D650" s="5" t="s">
        <v>322</v>
      </c>
      <c r="E650" s="28">
        <f>0.56-0.283</f>
        <v>0.27700000000000008</v>
      </c>
    </row>
    <row r="651" spans="1:5" ht="34">
      <c r="A651" s="39" t="s">
        <v>959</v>
      </c>
      <c r="B651" s="1" t="s">
        <v>14</v>
      </c>
      <c r="C651" s="17" t="s">
        <v>291</v>
      </c>
      <c r="D651" s="5" t="s">
        <v>872</v>
      </c>
      <c r="E651" s="28">
        <f>0.698-0.234-0.174+(0.004)-0.092-0.06-0.051</f>
        <v>9.0999999999999998E-2</v>
      </c>
    </row>
    <row r="652" spans="1:5" ht="34">
      <c r="A652" s="39" t="s">
        <v>959</v>
      </c>
      <c r="B652" s="1" t="s">
        <v>14</v>
      </c>
      <c r="C652" s="17" t="s">
        <v>291</v>
      </c>
      <c r="D652" s="5" t="s">
        <v>707</v>
      </c>
      <c r="E652" s="28">
        <f>0.706-0.484-0.176-(0.002)</f>
        <v>4.3999999999999984E-2</v>
      </c>
    </row>
    <row r="653" spans="1:5" ht="34">
      <c r="A653" s="39" t="s">
        <v>959</v>
      </c>
      <c r="B653" s="1" t="s">
        <v>14</v>
      </c>
      <c r="C653" s="17" t="s">
        <v>291</v>
      </c>
      <c r="D653" s="5" t="s">
        <v>11</v>
      </c>
      <c r="E653" s="28">
        <f>2.76-0.69-0.71</f>
        <v>1.3599999999999999</v>
      </c>
    </row>
    <row r="654" spans="1:5" ht="34">
      <c r="A654" s="39" t="s">
        <v>959</v>
      </c>
      <c r="B654" s="1" t="s">
        <v>14</v>
      </c>
      <c r="C654" s="17" t="s">
        <v>291</v>
      </c>
      <c r="D654" s="5" t="s">
        <v>11</v>
      </c>
      <c r="E654" s="28">
        <f>4.16</f>
        <v>4.16</v>
      </c>
    </row>
    <row r="655" spans="1:5" ht="34">
      <c r="A655" s="39" t="s">
        <v>959</v>
      </c>
      <c r="B655" s="1" t="s">
        <v>14</v>
      </c>
      <c r="C655" s="17" t="s">
        <v>291</v>
      </c>
      <c r="D655" s="5" t="s">
        <v>705</v>
      </c>
      <c r="E655" s="28">
        <f>0.846-0.598-0.13-(0.004)-0.042-(0.002)</f>
        <v>6.9999999999999979E-2</v>
      </c>
    </row>
    <row r="656" spans="1:5" ht="34">
      <c r="A656" s="39" t="s">
        <v>959</v>
      </c>
      <c r="B656" s="1" t="s">
        <v>14</v>
      </c>
      <c r="C656" s="17" t="s">
        <v>291</v>
      </c>
      <c r="D656" s="5" t="s">
        <v>805</v>
      </c>
      <c r="E656" s="28">
        <f>0.84-0.21</f>
        <v>0.63</v>
      </c>
    </row>
    <row r="657" spans="1:5" ht="34">
      <c r="A657" s="39" t="s">
        <v>959</v>
      </c>
      <c r="B657" s="1" t="s">
        <v>14</v>
      </c>
      <c r="C657" s="17" t="s">
        <v>291</v>
      </c>
      <c r="D657" s="5" t="s">
        <v>796</v>
      </c>
      <c r="E657" s="28">
        <f>2.36</f>
        <v>2.36</v>
      </c>
    </row>
    <row r="658" spans="1:5" ht="34">
      <c r="A658" s="39" t="s">
        <v>959</v>
      </c>
      <c r="B658" s="1" t="s">
        <v>14</v>
      </c>
      <c r="C658" s="17" t="s">
        <v>65</v>
      </c>
      <c r="D658" s="17" t="s">
        <v>652</v>
      </c>
      <c r="E658" s="31">
        <f>0.904-0.324-0.122-(0.002)-0.042-0.068-0.242</f>
        <v>0.10400000000000009</v>
      </c>
    </row>
    <row r="659" spans="1:5" ht="34">
      <c r="A659" s="39" t="s">
        <v>959</v>
      </c>
      <c r="B659" s="1" t="s">
        <v>14</v>
      </c>
      <c r="C659" s="17" t="s">
        <v>65</v>
      </c>
      <c r="D659" s="17" t="s">
        <v>706</v>
      </c>
      <c r="E659" s="31">
        <f>0.242-0.118-(0.002)-0.05</f>
        <v>7.1999999999999995E-2</v>
      </c>
    </row>
    <row r="660" spans="1:5" ht="34">
      <c r="A660" s="39" t="s">
        <v>959</v>
      </c>
      <c r="B660" s="1" t="s">
        <v>14</v>
      </c>
      <c r="C660" s="17" t="s">
        <v>291</v>
      </c>
      <c r="D660" s="17" t="s">
        <v>68</v>
      </c>
      <c r="E660" s="28">
        <f>2.91-0.975-0.97</f>
        <v>0.96500000000000008</v>
      </c>
    </row>
    <row r="661" spans="1:5" ht="34">
      <c r="A661" s="39" t="s">
        <v>959</v>
      </c>
      <c r="B661" s="1" t="s">
        <v>14</v>
      </c>
      <c r="C661" s="17" t="s">
        <v>291</v>
      </c>
      <c r="D661" s="17" t="s">
        <v>873</v>
      </c>
      <c r="E661" s="31">
        <f>0.97-0.07-(0.004)-0.068-(0.002)</f>
        <v>0.82599999999999985</v>
      </c>
    </row>
    <row r="662" spans="1:5" ht="34">
      <c r="A662" s="39" t="s">
        <v>959</v>
      </c>
      <c r="B662" s="1" t="s">
        <v>14</v>
      </c>
      <c r="C662" s="17" t="s">
        <v>291</v>
      </c>
      <c r="D662" s="15" t="s">
        <v>712</v>
      </c>
      <c r="E662" s="31">
        <f>2.26-1.134-0.756+(0.002)-0.284</f>
        <v>8.7999999999999912E-2</v>
      </c>
    </row>
    <row r="663" spans="1:5" ht="34">
      <c r="A663" s="39" t="s">
        <v>959</v>
      </c>
      <c r="B663" s="1" t="s">
        <v>14</v>
      </c>
      <c r="C663" s="17" t="s">
        <v>291</v>
      </c>
      <c r="D663" s="15" t="s">
        <v>938</v>
      </c>
      <c r="E663" s="31">
        <f>1.134-0.38-0.192-0.082-0.056-(0.004)-0.19-0.068-0.048-(0.002)</f>
        <v>0.11199999999999981</v>
      </c>
    </row>
    <row r="664" spans="1:5" ht="34">
      <c r="A664" s="39" t="s">
        <v>959</v>
      </c>
      <c r="B664" s="1" t="s">
        <v>14</v>
      </c>
      <c r="C664" s="17" t="s">
        <v>291</v>
      </c>
      <c r="D664" s="15" t="s">
        <v>849</v>
      </c>
      <c r="E664" s="31">
        <f>2.27-1.136-0.058-(0.006)-0.094-(0.001)-0.097-0.472-0.303-(0.001)</f>
        <v>0.10200000000000015</v>
      </c>
    </row>
    <row r="665" spans="1:5" ht="34">
      <c r="A665" s="39" t="s">
        <v>959</v>
      </c>
      <c r="B665" s="1" t="s">
        <v>14</v>
      </c>
      <c r="C665" s="17" t="s">
        <v>291</v>
      </c>
      <c r="D665" s="15" t="s">
        <v>30</v>
      </c>
      <c r="E665" s="31">
        <f>4.42-2.215-1.11</f>
        <v>1.095</v>
      </c>
    </row>
    <row r="666" spans="1:5" ht="34">
      <c r="A666" s="39" t="s">
        <v>959</v>
      </c>
      <c r="B666" s="1" t="s">
        <v>14</v>
      </c>
      <c r="C666" s="17" t="s">
        <v>291</v>
      </c>
      <c r="D666" s="15" t="s">
        <v>874</v>
      </c>
      <c r="E666" s="31">
        <f>1.11-0.556-0.079-(0.001)</f>
        <v>0.47400000000000003</v>
      </c>
    </row>
    <row r="667" spans="1:5" ht="34">
      <c r="A667" s="39" t="s">
        <v>959</v>
      </c>
      <c r="B667" s="1" t="s">
        <v>14</v>
      </c>
      <c r="C667" s="17" t="s">
        <v>291</v>
      </c>
      <c r="D667" s="15" t="s">
        <v>37</v>
      </c>
      <c r="E667" s="31">
        <f>8.47-1.408-1.406-1.406-2.826</f>
        <v>1.4240000000000017</v>
      </c>
    </row>
    <row r="668" spans="1:5" ht="34">
      <c r="A668" s="39" t="s">
        <v>959</v>
      </c>
      <c r="B668" s="1" t="s">
        <v>14</v>
      </c>
      <c r="C668" s="17" t="s">
        <v>291</v>
      </c>
      <c r="D668" s="15" t="s">
        <v>829</v>
      </c>
      <c r="E668" s="31">
        <f>1.406-1.27-0.062-(0.002)</f>
        <v>7.1999999999999897E-2</v>
      </c>
    </row>
    <row r="669" spans="1:5" ht="34">
      <c r="A669" s="39" t="s">
        <v>959</v>
      </c>
      <c r="B669" s="1" t="s">
        <v>14</v>
      </c>
      <c r="C669" s="17" t="s">
        <v>291</v>
      </c>
      <c r="D669" s="15" t="s">
        <v>850</v>
      </c>
      <c r="E669" s="31">
        <f>1.406-0.518-0.29-(0.002)-0.307-(0.002)</f>
        <v>0.28699999999999987</v>
      </c>
    </row>
    <row r="670" spans="1:5" ht="34">
      <c r="A670" s="39" t="s">
        <v>959</v>
      </c>
      <c r="B670" s="1" t="s">
        <v>14</v>
      </c>
      <c r="C670" s="17" t="s">
        <v>291</v>
      </c>
      <c r="D670" s="15" t="s">
        <v>54</v>
      </c>
      <c r="E670" s="31">
        <f>4.85-1.628</f>
        <v>3.2219999999999995</v>
      </c>
    </row>
    <row r="671" spans="1:5" ht="34">
      <c r="A671" s="39" t="s">
        <v>959</v>
      </c>
      <c r="B671" s="1" t="s">
        <v>14</v>
      </c>
      <c r="C671" s="17" t="s">
        <v>291</v>
      </c>
      <c r="D671" s="15" t="s">
        <v>627</v>
      </c>
      <c r="E671" s="31">
        <f>1.628-0.678-0.22-(0.002)</f>
        <v>0.72799999999999987</v>
      </c>
    </row>
    <row r="672" spans="1:5" ht="34">
      <c r="A672" s="39" t="s">
        <v>959</v>
      </c>
      <c r="B672" s="1" t="s">
        <v>14</v>
      </c>
      <c r="C672" s="17" t="s">
        <v>291</v>
      </c>
      <c r="D672" s="17" t="s">
        <v>713</v>
      </c>
      <c r="E672" s="31">
        <f>1.674-0.066-0.154-(0.002)-0.08-0.154</f>
        <v>1.218</v>
      </c>
    </row>
    <row r="673" spans="1:5" ht="34">
      <c r="A673" s="39" t="s">
        <v>959</v>
      </c>
      <c r="B673" s="1" t="s">
        <v>14</v>
      </c>
      <c r="C673" s="17" t="s">
        <v>291</v>
      </c>
      <c r="D673" s="17" t="s">
        <v>72</v>
      </c>
      <c r="E673" s="28">
        <f>3.35-1.675</f>
        <v>1.675</v>
      </c>
    </row>
    <row r="674" spans="1:5" ht="34">
      <c r="A674" s="39" t="s">
        <v>959</v>
      </c>
      <c r="B674" s="1" t="s">
        <v>14</v>
      </c>
      <c r="C674" s="17" t="s">
        <v>291</v>
      </c>
      <c r="D674" s="17" t="s">
        <v>72</v>
      </c>
      <c r="E674" s="28">
        <f>5</f>
        <v>5</v>
      </c>
    </row>
    <row r="675" spans="1:5" ht="34">
      <c r="A675" s="39" t="s">
        <v>959</v>
      </c>
      <c r="B675" s="1" t="s">
        <v>14</v>
      </c>
      <c r="C675" s="17" t="s">
        <v>291</v>
      </c>
      <c r="D675" s="5" t="s">
        <v>802</v>
      </c>
      <c r="E675" s="28">
        <f>1.53-0.724-(0.01)-0.22-(0.008)-0.146-(0.004)</f>
        <v>0.41800000000000004</v>
      </c>
    </row>
    <row r="676" spans="1:5" ht="34">
      <c r="A676" s="39" t="s">
        <v>959</v>
      </c>
      <c r="B676" s="1" t="s">
        <v>14</v>
      </c>
      <c r="C676" s="17" t="s">
        <v>291</v>
      </c>
      <c r="D676" s="5" t="s">
        <v>297</v>
      </c>
      <c r="E676" s="28">
        <f>1.704-0.232-0.898-0.47-(0.004)</f>
        <v>9.9999999999999978E-2</v>
      </c>
    </row>
    <row r="677" spans="1:5" ht="34">
      <c r="A677" s="39" t="s">
        <v>959</v>
      </c>
      <c r="B677" s="1" t="s">
        <v>14</v>
      </c>
      <c r="C677" s="17" t="s">
        <v>291</v>
      </c>
      <c r="D677" s="5" t="s">
        <v>76</v>
      </c>
      <c r="E677" s="28">
        <f>3.32</f>
        <v>3.32</v>
      </c>
    </row>
    <row r="678" spans="1:5" ht="34">
      <c r="A678" s="39" t="s">
        <v>959</v>
      </c>
      <c r="B678" s="1" t="s">
        <v>14</v>
      </c>
      <c r="C678" s="17" t="s">
        <v>291</v>
      </c>
      <c r="D678" s="17" t="s">
        <v>766</v>
      </c>
      <c r="E678" s="31">
        <f>3.26-1.63-0.368-(0.004)-0.13-(0.004)</f>
        <v>1.1240000000000001</v>
      </c>
    </row>
    <row r="679" spans="1:5" ht="34">
      <c r="A679" s="39" t="s">
        <v>959</v>
      </c>
      <c r="B679" s="1" t="s">
        <v>14</v>
      </c>
      <c r="C679" s="17" t="s">
        <v>291</v>
      </c>
      <c r="D679" s="17" t="s">
        <v>743</v>
      </c>
      <c r="E679" s="31">
        <f>4.9</f>
        <v>4.9000000000000004</v>
      </c>
    </row>
    <row r="680" spans="1:5" ht="34">
      <c r="A680" s="39" t="s">
        <v>959</v>
      </c>
      <c r="B680" s="1" t="s">
        <v>14</v>
      </c>
      <c r="C680" s="17" t="s">
        <v>291</v>
      </c>
      <c r="D680" s="5" t="s">
        <v>822</v>
      </c>
      <c r="E680" s="27">
        <f>1.736-0.43-0.591+(0.001)</f>
        <v>0.71600000000000008</v>
      </c>
    </row>
    <row r="681" spans="1:5" ht="34">
      <c r="A681" s="39" t="s">
        <v>959</v>
      </c>
      <c r="B681" s="1" t="s">
        <v>14</v>
      </c>
      <c r="C681" s="17" t="s">
        <v>291</v>
      </c>
      <c r="D681" s="5" t="s">
        <v>822</v>
      </c>
      <c r="E681" s="27">
        <f>1.64-0.992</f>
        <v>0.64799999999999991</v>
      </c>
    </row>
    <row r="682" spans="1:5" ht="34">
      <c r="A682" s="39" t="s">
        <v>959</v>
      </c>
      <c r="B682" s="1" t="s">
        <v>14</v>
      </c>
      <c r="C682" s="17" t="s">
        <v>291</v>
      </c>
      <c r="D682" s="5" t="s">
        <v>437</v>
      </c>
      <c r="E682" s="27">
        <f>5.09</f>
        <v>5.09</v>
      </c>
    </row>
    <row r="683" spans="1:5" ht="34">
      <c r="A683" s="39" t="s">
        <v>959</v>
      </c>
      <c r="B683" s="12" t="s">
        <v>14</v>
      </c>
      <c r="C683" s="12" t="s">
        <v>291</v>
      </c>
      <c r="D683" s="17" t="s">
        <v>401</v>
      </c>
      <c r="E683" s="31">
        <f>1.808-0.348-1.1-0.126-(0.004)</f>
        <v>0.22999999999999987</v>
      </c>
    </row>
    <row r="684" spans="1:5" ht="34">
      <c r="A684" s="39" t="s">
        <v>959</v>
      </c>
      <c r="B684" s="1" t="s">
        <v>14</v>
      </c>
      <c r="C684" s="1" t="s">
        <v>291</v>
      </c>
      <c r="D684" s="17" t="s">
        <v>77</v>
      </c>
      <c r="E684" s="31">
        <f>11.12-1.85-1.864-3.5</f>
        <v>3.9059999999999997</v>
      </c>
    </row>
    <row r="685" spans="1:5" ht="34">
      <c r="A685" s="39" t="s">
        <v>959</v>
      </c>
      <c r="B685" s="1" t="s">
        <v>14</v>
      </c>
      <c r="C685" s="1" t="s">
        <v>291</v>
      </c>
      <c r="D685" s="17" t="s">
        <v>800</v>
      </c>
      <c r="E685" s="31">
        <f>1.89-0.942-(0.05)-0.347-(0.005)</f>
        <v>0.54599999999999993</v>
      </c>
    </row>
    <row r="686" spans="1:5" ht="34">
      <c r="A686" s="39" t="s">
        <v>959</v>
      </c>
      <c r="B686" s="1" t="s">
        <v>14</v>
      </c>
      <c r="C686" s="1" t="s">
        <v>291</v>
      </c>
      <c r="D686" s="17" t="s">
        <v>77</v>
      </c>
      <c r="E686" s="31">
        <f>1.82</f>
        <v>1.82</v>
      </c>
    </row>
    <row r="687" spans="1:5" ht="34">
      <c r="A687" s="39" t="s">
        <v>959</v>
      </c>
      <c r="B687" s="1" t="s">
        <v>14</v>
      </c>
      <c r="C687" s="17" t="s">
        <v>291</v>
      </c>
      <c r="D687" s="17" t="s">
        <v>770</v>
      </c>
      <c r="E687" s="31">
        <f>3.76-1.834-1.382-(0.088)</f>
        <v>0.45599999999999985</v>
      </c>
    </row>
    <row r="688" spans="1:5" ht="34">
      <c r="A688" s="39" t="s">
        <v>959</v>
      </c>
      <c r="B688" s="1" t="s">
        <v>14</v>
      </c>
      <c r="C688" s="17" t="s">
        <v>291</v>
      </c>
      <c r="D688" s="17" t="s">
        <v>74</v>
      </c>
      <c r="E688" s="31">
        <f>11.34-3.764-3.788</f>
        <v>3.7880000000000007</v>
      </c>
    </row>
    <row r="689" spans="1:5" ht="34">
      <c r="A689" s="39" t="s">
        <v>959</v>
      </c>
      <c r="B689" s="1" t="s">
        <v>14</v>
      </c>
      <c r="C689" s="17" t="s">
        <v>291</v>
      </c>
      <c r="D689" s="17" t="s">
        <v>74</v>
      </c>
      <c r="E689" s="31">
        <f>5.56-1.811-1.868</f>
        <v>1.8809999999999996</v>
      </c>
    </row>
    <row r="690" spans="1:5" ht="34">
      <c r="A690" s="39" t="s">
        <v>959</v>
      </c>
      <c r="B690" s="1" t="s">
        <v>14</v>
      </c>
      <c r="C690" s="17" t="s">
        <v>291</v>
      </c>
      <c r="D690" s="17" t="s">
        <v>801</v>
      </c>
      <c r="E690" s="31">
        <f>1.811-0.569-0.34+(0.014)</f>
        <v>0.91599999999999993</v>
      </c>
    </row>
    <row r="691" spans="1:5" ht="34">
      <c r="A691" s="39" t="s">
        <v>959</v>
      </c>
      <c r="B691" s="1" t="s">
        <v>14</v>
      </c>
      <c r="C691" s="17" t="s">
        <v>291</v>
      </c>
      <c r="D691" s="17" t="s">
        <v>939</v>
      </c>
      <c r="E691" s="31">
        <f>0.044</f>
        <v>4.3999999999999997E-2</v>
      </c>
    </row>
    <row r="692" spans="1:5" ht="34">
      <c r="A692" s="39" t="s">
        <v>959</v>
      </c>
      <c r="B692" s="1" t="s">
        <v>14</v>
      </c>
      <c r="C692" s="17" t="s">
        <v>291</v>
      </c>
      <c r="D692" s="17" t="s">
        <v>668</v>
      </c>
      <c r="E692" s="31">
        <f>11.04-1.808-1.835-1.847-1.824-1.845-0.866-(0.045)-0.676-(0.002)</f>
        <v>0.29199999999999915</v>
      </c>
    </row>
    <row r="693" spans="1:5" ht="34">
      <c r="A693" s="39" t="s">
        <v>959</v>
      </c>
      <c r="B693" s="1" t="s">
        <v>14</v>
      </c>
      <c r="C693" s="17" t="s">
        <v>291</v>
      </c>
      <c r="D693" s="17" t="s">
        <v>80</v>
      </c>
      <c r="E693" s="31">
        <f>11.28-1.856-3.8</f>
        <v>5.6239999999999997</v>
      </c>
    </row>
    <row r="694" spans="1:5" ht="34">
      <c r="A694" s="39" t="s">
        <v>959</v>
      </c>
      <c r="B694" s="1" t="s">
        <v>14</v>
      </c>
      <c r="C694" s="17" t="s">
        <v>291</v>
      </c>
      <c r="D694" s="17" t="s">
        <v>841</v>
      </c>
      <c r="E694" s="31">
        <f>1.856-0.268-1.118-(0.002)</f>
        <v>0.46799999999999997</v>
      </c>
    </row>
    <row r="695" spans="1:5" ht="34">
      <c r="A695" s="39" t="s">
        <v>959</v>
      </c>
      <c r="B695" s="1" t="s">
        <v>14</v>
      </c>
      <c r="C695" s="17" t="s">
        <v>291</v>
      </c>
      <c r="D695" s="17" t="s">
        <v>89</v>
      </c>
      <c r="E695" s="31">
        <f>5.6-1.844-1.865</f>
        <v>1.8909999999999993</v>
      </c>
    </row>
    <row r="696" spans="1:5" ht="34">
      <c r="A696" s="39" t="s">
        <v>959</v>
      </c>
      <c r="B696" s="1" t="s">
        <v>14</v>
      </c>
      <c r="C696" s="17" t="s">
        <v>291</v>
      </c>
      <c r="D696" s="17" t="s">
        <v>940</v>
      </c>
      <c r="E696" s="31">
        <f>1.844-0.306-0.508-(0.006)-0.508-(0.002)-0.292</f>
        <v>0.22200000000000003</v>
      </c>
    </row>
    <row r="697" spans="1:5" ht="34">
      <c r="A697" s="39" t="s">
        <v>959</v>
      </c>
      <c r="B697" s="1" t="s">
        <v>14</v>
      </c>
      <c r="C697" s="17" t="s">
        <v>291</v>
      </c>
      <c r="D697" s="17" t="s">
        <v>89</v>
      </c>
      <c r="E697" s="31">
        <f>5.54</f>
        <v>5.54</v>
      </c>
    </row>
    <row r="698" spans="1:5" ht="34">
      <c r="A698" s="39" t="s">
        <v>959</v>
      </c>
      <c r="B698" s="1" t="s">
        <v>14</v>
      </c>
      <c r="C698" s="17" t="s">
        <v>302</v>
      </c>
      <c r="D698" s="17" t="s">
        <v>441</v>
      </c>
      <c r="E698" s="31">
        <f>5.59-1.814-1.851</f>
        <v>1.9249999999999998</v>
      </c>
    </row>
    <row r="699" spans="1:5" ht="34">
      <c r="A699" s="39" t="s">
        <v>959</v>
      </c>
      <c r="B699" s="1" t="s">
        <v>14</v>
      </c>
      <c r="C699" s="17" t="s">
        <v>302</v>
      </c>
      <c r="D699" s="17" t="s">
        <v>720</v>
      </c>
      <c r="E699" s="31">
        <f>1.814-0.174-0.218-(0.002)-0.216-(0.004)-0.822-(0.02)</f>
        <v>0.35800000000000021</v>
      </c>
    </row>
    <row r="700" spans="1:5" ht="34">
      <c r="A700" s="39" t="s">
        <v>959</v>
      </c>
      <c r="B700" s="1" t="s">
        <v>17</v>
      </c>
      <c r="C700" s="17" t="s">
        <v>612</v>
      </c>
      <c r="D700" s="5" t="s">
        <v>152</v>
      </c>
      <c r="E700" s="28">
        <f>4.436-0.042-0.022-0.08</f>
        <v>4.2919999999999998</v>
      </c>
    </row>
    <row r="701" spans="1:5" ht="34">
      <c r="A701" s="39" t="s">
        <v>959</v>
      </c>
      <c r="B701" s="1" t="s">
        <v>17</v>
      </c>
      <c r="C701" s="17" t="s">
        <v>612</v>
      </c>
      <c r="D701" s="5" t="s">
        <v>133</v>
      </c>
      <c r="E701" s="28">
        <f>4.41-0.01-0.244-0.036-0.026</f>
        <v>4.0940000000000012</v>
      </c>
    </row>
    <row r="702" spans="1:5" ht="34">
      <c r="A702" s="39" t="s">
        <v>959</v>
      </c>
      <c r="B702" s="1" t="s">
        <v>17</v>
      </c>
      <c r="C702" s="17" t="s">
        <v>612</v>
      </c>
      <c r="D702" s="5" t="s">
        <v>145</v>
      </c>
      <c r="E702" s="28">
        <f>4.458-0.1-0.08</f>
        <v>4.2780000000000005</v>
      </c>
    </row>
    <row r="703" spans="1:5" ht="34">
      <c r="A703" s="39" t="s">
        <v>959</v>
      </c>
      <c r="B703" s="1" t="s">
        <v>17</v>
      </c>
      <c r="C703" s="17" t="s">
        <v>612</v>
      </c>
      <c r="D703" s="5" t="s">
        <v>153</v>
      </c>
      <c r="E703" s="28">
        <f>4.516-0.32-0.316-0.078</f>
        <v>3.802</v>
      </c>
    </row>
    <row r="704" spans="1:5" ht="34">
      <c r="A704" s="39" t="s">
        <v>959</v>
      </c>
      <c r="B704" s="1" t="s">
        <v>17</v>
      </c>
      <c r="C704" s="17" t="s">
        <v>612</v>
      </c>
      <c r="D704" s="5" t="s">
        <v>619</v>
      </c>
      <c r="E704" s="28">
        <f>6.476-0.09-0.022-0.196</f>
        <v>6.1680000000000001</v>
      </c>
    </row>
    <row r="705" spans="1:5" ht="34">
      <c r="A705" s="39" t="s">
        <v>959</v>
      </c>
      <c r="B705" s="1" t="s">
        <v>17</v>
      </c>
      <c r="C705" s="17" t="s">
        <v>612</v>
      </c>
      <c r="D705" s="5" t="s">
        <v>618</v>
      </c>
      <c r="E705" s="28">
        <f>6.364-0.054</f>
        <v>6.31</v>
      </c>
    </row>
    <row r="706" spans="1:5" ht="34">
      <c r="A706" s="39" t="s">
        <v>959</v>
      </c>
      <c r="B706" s="1" t="s">
        <v>17</v>
      </c>
      <c r="C706" s="17" t="s">
        <v>65</v>
      </c>
      <c r="D706" s="17" t="s">
        <v>346</v>
      </c>
      <c r="E706" s="32">
        <f>5.1-1.69-1.706-0.376-0.032</f>
        <v>1.2959999999999998</v>
      </c>
    </row>
    <row r="707" spans="1:5" ht="34">
      <c r="A707" s="39" t="s">
        <v>959</v>
      </c>
      <c r="B707" s="1" t="s">
        <v>17</v>
      </c>
      <c r="C707" s="17" t="s">
        <v>612</v>
      </c>
      <c r="D707" s="15" t="s">
        <v>183</v>
      </c>
      <c r="E707" s="31">
        <f>5.296-0.592-0.46-0.448-0.052-2.232-0.936-0.3</f>
        <v>0.27600000000000041</v>
      </c>
    </row>
    <row r="708" spans="1:5" ht="34">
      <c r="A708" s="39" t="s">
        <v>959</v>
      </c>
      <c r="B708" s="1" t="s">
        <v>17</v>
      </c>
      <c r="C708" s="17" t="s">
        <v>612</v>
      </c>
      <c r="D708" s="15" t="s">
        <v>128</v>
      </c>
      <c r="E708" s="31">
        <f>4.57-0.584-0.518-1.294-0.344</f>
        <v>1.83</v>
      </c>
    </row>
    <row r="709" spans="1:5" ht="34">
      <c r="A709" s="39" t="s">
        <v>959</v>
      </c>
      <c r="B709" s="1" t="s">
        <v>17</v>
      </c>
      <c r="C709" s="17" t="s">
        <v>612</v>
      </c>
      <c r="D709" s="15" t="s">
        <v>177</v>
      </c>
      <c r="E709" s="31">
        <f>4.778-0.59-0.066-0.586-0.408-0.084</f>
        <v>3.044</v>
      </c>
    </row>
    <row r="710" spans="1:5" ht="34">
      <c r="A710" s="39" t="s">
        <v>959</v>
      </c>
      <c r="B710" s="1" t="s">
        <v>17</v>
      </c>
      <c r="C710" s="17" t="s">
        <v>612</v>
      </c>
      <c r="D710" s="15" t="s">
        <v>129</v>
      </c>
      <c r="E710" s="31">
        <f>4.794-0.358-0.582</f>
        <v>3.8540000000000001</v>
      </c>
    </row>
    <row r="711" spans="1:5" ht="34">
      <c r="A711" s="39" t="s">
        <v>959</v>
      </c>
      <c r="B711" s="1" t="s">
        <v>17</v>
      </c>
      <c r="C711" s="17" t="s">
        <v>612</v>
      </c>
      <c r="D711" s="15" t="s">
        <v>130</v>
      </c>
      <c r="E711" s="31">
        <f>6.276-1.55</f>
        <v>4.726</v>
      </c>
    </row>
    <row r="712" spans="1:5" ht="34">
      <c r="A712" s="39" t="s">
        <v>959</v>
      </c>
      <c r="B712" s="1" t="s">
        <v>13</v>
      </c>
      <c r="C712" s="11" t="s">
        <v>511</v>
      </c>
      <c r="D712" s="16" t="s">
        <v>7</v>
      </c>
      <c r="E712" s="25">
        <f>1.02-0.16-0.032-0.48-0.032-0.034-0.064-0.032-0.126</f>
        <v>5.9999999999999915E-2</v>
      </c>
    </row>
    <row r="713" spans="1:5" ht="34">
      <c r="A713" s="39" t="s">
        <v>959</v>
      </c>
      <c r="B713" s="1" t="s">
        <v>13</v>
      </c>
      <c r="C713" s="11" t="s">
        <v>511</v>
      </c>
      <c r="D713" s="16" t="s">
        <v>513</v>
      </c>
      <c r="E713" s="25">
        <f>0.938-0.16</f>
        <v>0.77799999999999991</v>
      </c>
    </row>
    <row r="714" spans="1:5" ht="34">
      <c r="A714" s="39" t="s">
        <v>959</v>
      </c>
      <c r="B714" s="1" t="s">
        <v>13</v>
      </c>
      <c r="C714" s="11" t="s">
        <v>511</v>
      </c>
      <c r="D714" s="16" t="s">
        <v>7</v>
      </c>
      <c r="E714" s="25">
        <f>0.51-0.032-0.16-0.16</f>
        <v>0.15799999999999995</v>
      </c>
    </row>
    <row r="715" spans="1:5" ht="34">
      <c r="A715" s="39" t="s">
        <v>959</v>
      </c>
      <c r="B715" s="1" t="s">
        <v>13</v>
      </c>
      <c r="C715" s="11" t="s">
        <v>368</v>
      </c>
      <c r="D715" s="16" t="s">
        <v>486</v>
      </c>
      <c r="E715" s="25">
        <f>0.52-0.048-0.328</f>
        <v>0.14400000000000002</v>
      </c>
    </row>
    <row r="716" spans="1:5" ht="34">
      <c r="A716" s="39" t="s">
        <v>959</v>
      </c>
      <c r="B716" s="1" t="s">
        <v>13</v>
      </c>
      <c r="C716" s="11" t="s">
        <v>368</v>
      </c>
      <c r="D716" s="16" t="s">
        <v>18</v>
      </c>
      <c r="E716" s="26">
        <f>0.495-0.063-0.123</f>
        <v>0.309</v>
      </c>
    </row>
    <row r="717" spans="1:5" ht="34">
      <c r="A717" s="39" t="s">
        <v>959</v>
      </c>
      <c r="B717" s="1" t="s">
        <v>13</v>
      </c>
      <c r="C717" s="11" t="s">
        <v>248</v>
      </c>
      <c r="D717" s="16" t="s">
        <v>8</v>
      </c>
      <c r="E717" s="25">
        <f>2.046-0.14-0.048-0.046-0.144-0.284-0.48-0.19-0.048-0.048-0.048-0.048-0.05-0.048-0.048-0.048-0.096-0.048-0.048-0.048-0.048</f>
        <v>3.9999999999999619E-2</v>
      </c>
    </row>
    <row r="718" spans="1:5" ht="34">
      <c r="A718" s="39" t="s">
        <v>959</v>
      </c>
      <c r="B718" s="1" t="s">
        <v>13</v>
      </c>
      <c r="C718" s="11" t="s">
        <v>512</v>
      </c>
      <c r="D718" s="16" t="s">
        <v>8</v>
      </c>
      <c r="E718" s="25">
        <f>4.044-1.184-0.048-0.048-0.094-0.046-0.286</f>
        <v>2.3379999999999996</v>
      </c>
    </row>
    <row r="719" spans="1:5" ht="34">
      <c r="A719" s="39" t="s">
        <v>959</v>
      </c>
      <c r="B719" s="1" t="s">
        <v>13</v>
      </c>
      <c r="C719" s="11" t="s">
        <v>368</v>
      </c>
      <c r="D719" s="16" t="s">
        <v>33</v>
      </c>
      <c r="E719" s="26">
        <f>1.45-0.072-0.072-0.074-0.073-0.144</f>
        <v>1.0149999999999999</v>
      </c>
    </row>
    <row r="720" spans="1:5" ht="34">
      <c r="A720" s="39" t="s">
        <v>959</v>
      </c>
      <c r="B720" s="1" t="s">
        <v>13</v>
      </c>
      <c r="C720" s="11" t="s">
        <v>368</v>
      </c>
      <c r="D720" s="16" t="s">
        <v>348</v>
      </c>
      <c r="E720" s="26">
        <f>1.5-0.076-0.074-0.302-0.15-0.075-0.073-0.075-0.226</f>
        <v>0.44899999999999995</v>
      </c>
    </row>
    <row r="721" spans="1:5" ht="34">
      <c r="A721" s="39" t="s">
        <v>959</v>
      </c>
      <c r="B721" s="1" t="s">
        <v>13</v>
      </c>
      <c r="C721" s="11" t="s">
        <v>512</v>
      </c>
      <c r="D721" s="16" t="s">
        <v>9</v>
      </c>
      <c r="E721" s="25">
        <f>4.924-0.064-0.062-0.064-1.058-0.062-0.062-0.248-0.125-0.187-0.504-0.062-0.124-0.062-0.371-0.246-0.308-0.252-0.126-0.189-0.55</f>
        <v>0.19800000000000062</v>
      </c>
    </row>
    <row r="722" spans="1:5" ht="34">
      <c r="A722" s="39" t="s">
        <v>959</v>
      </c>
      <c r="B722" s="1" t="s">
        <v>13</v>
      </c>
      <c r="C722" s="11" t="s">
        <v>368</v>
      </c>
      <c r="D722" s="16" t="s">
        <v>421</v>
      </c>
      <c r="E722" s="26">
        <f>6.154-0.154-0.154-0.389-1.005-0.077-0.619-0.077-0.154-0.078-0.078-0.077-0.078-0.078-0.154</f>
        <v>2.9820000000000011</v>
      </c>
    </row>
    <row r="723" spans="1:5" ht="34">
      <c r="A723" s="39" t="s">
        <v>959</v>
      </c>
      <c r="B723" s="1" t="s">
        <v>13</v>
      </c>
      <c r="C723" s="11" t="s">
        <v>368</v>
      </c>
      <c r="D723" s="16" t="s">
        <v>349</v>
      </c>
      <c r="E723" s="26">
        <f>1.455-0.194-0.096-0.098-0.097-0.194-0.097-0.194</f>
        <v>0.48500000000000004</v>
      </c>
    </row>
    <row r="724" spans="1:5" ht="34">
      <c r="A724" s="39" t="s">
        <v>959</v>
      </c>
      <c r="B724" s="1" t="s">
        <v>13</v>
      </c>
      <c r="C724" s="11" t="s">
        <v>368</v>
      </c>
      <c r="D724" s="16" t="s">
        <v>654</v>
      </c>
      <c r="E724" s="25">
        <f>4.194-0.098-0.685-0.097</f>
        <v>3.3140000000000001</v>
      </c>
    </row>
    <row r="725" spans="1:5" ht="34">
      <c r="A725" s="39" t="s">
        <v>959</v>
      </c>
      <c r="B725" s="1" t="s">
        <v>13</v>
      </c>
      <c r="C725" s="17" t="s">
        <v>616</v>
      </c>
      <c r="D725" s="22" t="s">
        <v>61</v>
      </c>
      <c r="E725" s="27">
        <f>2.04-0.676-0.34-0.34-0.34</f>
        <v>0.34399999999999969</v>
      </c>
    </row>
    <row r="726" spans="1:5" ht="34">
      <c r="A726" s="39" t="s">
        <v>959</v>
      </c>
      <c r="B726" s="1" t="s">
        <v>13</v>
      </c>
      <c r="C726" s="17" t="s">
        <v>616</v>
      </c>
      <c r="D726" s="22" t="s">
        <v>917</v>
      </c>
      <c r="E726" s="27">
        <f>0.34-0.056-0.058-0.048-0.032-0.034-0.018-0.018+(0.002)-0.03</f>
        <v>4.8000000000000043E-2</v>
      </c>
    </row>
    <row r="727" spans="1:5" ht="34">
      <c r="A727" s="39" t="s">
        <v>959</v>
      </c>
      <c r="B727" s="1" t="s">
        <v>13</v>
      </c>
      <c r="C727" s="17" t="s">
        <v>716</v>
      </c>
      <c r="D727" s="22" t="s">
        <v>61</v>
      </c>
      <c r="E727" s="27">
        <f>3.33</f>
        <v>3.33</v>
      </c>
    </row>
    <row r="728" spans="1:5" ht="34">
      <c r="A728" s="39" t="s">
        <v>959</v>
      </c>
      <c r="B728" s="1" t="s">
        <v>13</v>
      </c>
      <c r="C728" s="17" t="s">
        <v>716</v>
      </c>
      <c r="D728" s="22" t="s">
        <v>61</v>
      </c>
      <c r="E728" s="27">
        <f>0.69</f>
        <v>0.69</v>
      </c>
    </row>
    <row r="729" spans="1:5" ht="34">
      <c r="A729" s="39" t="s">
        <v>959</v>
      </c>
      <c r="B729" s="1" t="s">
        <v>13</v>
      </c>
      <c r="C729" s="17" t="s">
        <v>716</v>
      </c>
      <c r="D729" s="22" t="s">
        <v>853</v>
      </c>
      <c r="E729" s="27">
        <f>1.03</f>
        <v>1.03</v>
      </c>
    </row>
    <row r="730" spans="1:5" ht="34">
      <c r="A730" s="39" t="s">
        <v>959</v>
      </c>
      <c r="B730" s="1" t="s">
        <v>13</v>
      </c>
      <c r="C730" s="17" t="s">
        <v>716</v>
      </c>
      <c r="D730" s="22" t="s">
        <v>61</v>
      </c>
      <c r="E730" s="27">
        <f>4.22</f>
        <v>4.22</v>
      </c>
    </row>
    <row r="731" spans="1:5" ht="34">
      <c r="A731" s="39" t="s">
        <v>959</v>
      </c>
      <c r="B731" s="1" t="s">
        <v>13</v>
      </c>
      <c r="C731" s="11" t="s">
        <v>368</v>
      </c>
      <c r="D731" s="16" t="s">
        <v>422</v>
      </c>
      <c r="E731" s="26">
        <f>2.008-0.097-0.096-0.097-0.189-0.097-0.094-0.188-0.378-0.383</f>
        <v>0.3889999999999999</v>
      </c>
    </row>
    <row r="732" spans="1:5" ht="34">
      <c r="A732" s="39" t="s">
        <v>959</v>
      </c>
      <c r="B732" s="1" t="s">
        <v>13</v>
      </c>
      <c r="C732" s="17" t="s">
        <v>354</v>
      </c>
      <c r="D732" s="10" t="s">
        <v>655</v>
      </c>
      <c r="E732" s="27">
        <f>4.108-0.452-0.909-0.113</f>
        <v>2.6339999999999999</v>
      </c>
    </row>
    <row r="733" spans="1:5" ht="34">
      <c r="A733" s="39" t="s">
        <v>959</v>
      </c>
      <c r="B733" s="1" t="s">
        <v>13</v>
      </c>
      <c r="C733" s="17" t="s">
        <v>354</v>
      </c>
      <c r="D733" s="10" t="s">
        <v>734</v>
      </c>
      <c r="E733" s="27">
        <f>3.43-0.429-0.428-0.426-0.86-0.426-0.428-0.08-(0.001)-0.082-(0.002)-0.218+(0.002)</f>
        <v>5.2000000000000407E-2</v>
      </c>
    </row>
    <row r="734" spans="1:5" ht="34">
      <c r="A734" s="39" t="s">
        <v>959</v>
      </c>
      <c r="B734" s="1" t="s">
        <v>13</v>
      </c>
      <c r="C734" s="17" t="s">
        <v>617</v>
      </c>
      <c r="D734" s="10" t="s">
        <v>49</v>
      </c>
      <c r="E734" s="27">
        <f>2.1-0.424-0.424</f>
        <v>1.2520000000000002</v>
      </c>
    </row>
    <row r="735" spans="1:5" ht="34">
      <c r="A735" s="39" t="s">
        <v>959</v>
      </c>
      <c r="B735" s="1" t="s">
        <v>13</v>
      </c>
      <c r="C735" s="17" t="s">
        <v>617</v>
      </c>
      <c r="D735" s="10" t="s">
        <v>918</v>
      </c>
      <c r="E735" s="27">
        <f>0.424-0.082-0.141-0.019</f>
        <v>0.182</v>
      </c>
    </row>
    <row r="736" spans="1:5" ht="34">
      <c r="A736" s="39" t="s">
        <v>959</v>
      </c>
      <c r="B736" s="1" t="s">
        <v>13</v>
      </c>
      <c r="C736" s="17" t="s">
        <v>617</v>
      </c>
      <c r="D736" s="10" t="s">
        <v>919</v>
      </c>
      <c r="E736" s="27">
        <f>0.424-0.321</f>
        <v>0.10299999999999998</v>
      </c>
    </row>
    <row r="737" spans="1:5" ht="34">
      <c r="A737" s="39" t="s">
        <v>959</v>
      </c>
      <c r="B737" s="1" t="s">
        <v>13</v>
      </c>
      <c r="C737" s="17" t="s">
        <v>755</v>
      </c>
      <c r="D737" s="10" t="s">
        <v>49</v>
      </c>
      <c r="E737" s="27">
        <f>0.8-0.404</f>
        <v>0.39600000000000002</v>
      </c>
    </row>
    <row r="738" spans="1:5" ht="34">
      <c r="A738" s="39" t="s">
        <v>959</v>
      </c>
      <c r="B738" s="1" t="s">
        <v>13</v>
      </c>
      <c r="C738" s="11" t="s">
        <v>368</v>
      </c>
      <c r="D738" s="10" t="s">
        <v>487</v>
      </c>
      <c r="E738" s="27">
        <f>2.044-0.112-0.225-0.112-0.114-0.112-0.112-0.114-0.453-0.112-0.114-0.114</f>
        <v>0.34999999999999931</v>
      </c>
    </row>
    <row r="739" spans="1:5" ht="34">
      <c r="A739" s="39" t="s">
        <v>959</v>
      </c>
      <c r="B739" s="1" t="s">
        <v>13</v>
      </c>
      <c r="C739" s="11" t="s">
        <v>368</v>
      </c>
      <c r="D739" s="10" t="s">
        <v>350</v>
      </c>
      <c r="E739" s="27">
        <f>0.915-0.464</f>
        <v>0.45100000000000001</v>
      </c>
    </row>
    <row r="740" spans="1:5" ht="34">
      <c r="A740" s="39" t="s">
        <v>959</v>
      </c>
      <c r="B740" s="1" t="s">
        <v>13</v>
      </c>
      <c r="C740" s="11" t="s">
        <v>368</v>
      </c>
      <c r="D740" s="10" t="s">
        <v>656</v>
      </c>
      <c r="E740" s="27">
        <f>7.956-0.6-0.449-1.802-0.15-0.292-0.449-0.446-0.898-0.149</f>
        <v>2.7210000000000001</v>
      </c>
    </row>
    <row r="741" spans="1:5" ht="34">
      <c r="A741" s="39" t="s">
        <v>959</v>
      </c>
      <c r="B741" s="15" t="s">
        <v>13</v>
      </c>
      <c r="C741" s="17" t="s">
        <v>354</v>
      </c>
      <c r="D741" s="12" t="s">
        <v>717</v>
      </c>
      <c r="E741" s="27">
        <f>6.18-0.57-0.569-1.11-1.8</f>
        <v>2.1309999999999993</v>
      </c>
    </row>
    <row r="742" spans="1:5" ht="34">
      <c r="A742" s="39" t="s">
        <v>959</v>
      </c>
      <c r="B742" s="15" t="s">
        <v>13</v>
      </c>
      <c r="C742" s="17" t="s">
        <v>354</v>
      </c>
      <c r="D742" s="12" t="s">
        <v>510</v>
      </c>
      <c r="E742" s="27">
        <f>0.569-0.191</f>
        <v>0.37799999999999995</v>
      </c>
    </row>
    <row r="743" spans="1:5" ht="34">
      <c r="A743" s="39" t="s">
        <v>959</v>
      </c>
      <c r="B743" s="1" t="s">
        <v>13</v>
      </c>
      <c r="C743" s="11" t="s">
        <v>368</v>
      </c>
      <c r="D743" s="10" t="s">
        <v>657</v>
      </c>
      <c r="E743" s="27">
        <f>10.228-0.212-0.214-0.212-0.638-0.632-0.213-4.259-0.21-0.86-2.14</f>
        <v>0.63800000000000079</v>
      </c>
    </row>
    <row r="744" spans="1:5" ht="34">
      <c r="A744" s="39" t="s">
        <v>959</v>
      </c>
      <c r="B744" s="15" t="s">
        <v>13</v>
      </c>
      <c r="C744" s="17" t="s">
        <v>354</v>
      </c>
      <c r="D744" s="12" t="s">
        <v>676</v>
      </c>
      <c r="E744" s="27">
        <f>0.136</f>
        <v>0.13600000000000001</v>
      </c>
    </row>
    <row r="745" spans="1:5" ht="34">
      <c r="A745" s="39" t="s">
        <v>959</v>
      </c>
      <c r="B745" s="15" t="s">
        <v>13</v>
      </c>
      <c r="C745" s="17" t="s">
        <v>354</v>
      </c>
      <c r="D745" s="12" t="s">
        <v>677</v>
      </c>
      <c r="E745" s="27">
        <f>0.17</f>
        <v>0.17</v>
      </c>
    </row>
    <row r="746" spans="1:5" ht="34">
      <c r="A746" s="39" t="s">
        <v>959</v>
      </c>
      <c r="B746" s="15" t="s">
        <v>13</v>
      </c>
      <c r="C746" s="17" t="s">
        <v>354</v>
      </c>
      <c r="D746" s="12" t="s">
        <v>920</v>
      </c>
      <c r="E746" s="27">
        <f>0.692-0.052-0.236+(0.002)-0.06-0.119</f>
        <v>0.22699999999999992</v>
      </c>
    </row>
    <row r="747" spans="1:5" ht="34">
      <c r="A747" s="39" t="s">
        <v>959</v>
      </c>
      <c r="B747" s="15" t="s">
        <v>13</v>
      </c>
      <c r="C747" s="17" t="s">
        <v>354</v>
      </c>
      <c r="D747" s="12" t="s">
        <v>779</v>
      </c>
      <c r="E747" s="27">
        <f>0.7-0.418-0.192-(0.004)</f>
        <v>8.5999999999999965E-2</v>
      </c>
    </row>
    <row r="748" spans="1:5" ht="34">
      <c r="A748" s="39" t="s">
        <v>959</v>
      </c>
      <c r="B748" s="15" t="s">
        <v>13</v>
      </c>
      <c r="C748" s="17" t="s">
        <v>354</v>
      </c>
      <c r="D748" s="12" t="s">
        <v>708</v>
      </c>
      <c r="E748" s="27">
        <f>6.32-0.698-0.702-1.42</f>
        <v>3.5</v>
      </c>
    </row>
    <row r="749" spans="1:5" ht="34">
      <c r="A749" s="39" t="s">
        <v>959</v>
      </c>
      <c r="B749" s="15" t="s">
        <v>13</v>
      </c>
      <c r="C749" s="17" t="s">
        <v>354</v>
      </c>
      <c r="D749" s="12" t="s">
        <v>865</v>
      </c>
      <c r="E749" s="27">
        <f>0.702-0.42</f>
        <v>0.28199999999999997</v>
      </c>
    </row>
    <row r="750" spans="1:5" ht="34">
      <c r="A750" s="39" t="s">
        <v>959</v>
      </c>
      <c r="B750" s="1" t="s">
        <v>13</v>
      </c>
      <c r="C750" s="11" t="s">
        <v>368</v>
      </c>
      <c r="D750" s="10" t="s">
        <v>488</v>
      </c>
      <c r="E750" s="27">
        <f>6.818-0.244-0.245-0.735-0.493-1.963-1.237-1.718</f>
        <v>0.18299999999999894</v>
      </c>
    </row>
    <row r="751" spans="1:5" ht="34">
      <c r="A751" s="39" t="s">
        <v>959</v>
      </c>
      <c r="B751" s="1" t="s">
        <v>13</v>
      </c>
      <c r="C751" s="11" t="s">
        <v>368</v>
      </c>
      <c r="D751" s="10" t="s">
        <v>489</v>
      </c>
      <c r="E751" s="27">
        <f>2.15</f>
        <v>2.15</v>
      </c>
    </row>
    <row r="752" spans="1:5" ht="34">
      <c r="A752" s="39" t="s">
        <v>959</v>
      </c>
      <c r="B752" s="15" t="s">
        <v>13</v>
      </c>
      <c r="C752" s="11" t="s">
        <v>368</v>
      </c>
      <c r="D752" s="5" t="s">
        <v>490</v>
      </c>
      <c r="E752" s="27">
        <f>1.762-0.298</f>
        <v>1.464</v>
      </c>
    </row>
    <row r="753" spans="1:5" ht="34">
      <c r="A753" s="39" t="s">
        <v>959</v>
      </c>
      <c r="B753" s="1" t="s">
        <v>13</v>
      </c>
      <c r="C753" s="11" t="s">
        <v>368</v>
      </c>
      <c r="D753" s="10" t="s">
        <v>420</v>
      </c>
      <c r="E753" s="27">
        <f>5.848-2.924-0.293-0.291-0.582-1</f>
        <v>0.75800000000000001</v>
      </c>
    </row>
    <row r="754" spans="1:5" ht="34">
      <c r="A754" s="39" t="s">
        <v>959</v>
      </c>
      <c r="B754" s="1" t="s">
        <v>13</v>
      </c>
      <c r="C754" s="11" t="s">
        <v>368</v>
      </c>
      <c r="D754" s="10" t="s">
        <v>491</v>
      </c>
      <c r="E754" s="27">
        <f>6.95-0.584</f>
        <v>6.3660000000000005</v>
      </c>
    </row>
    <row r="755" spans="1:5" ht="34">
      <c r="A755" s="39" t="s">
        <v>959</v>
      </c>
      <c r="B755" s="15" t="s">
        <v>13</v>
      </c>
      <c r="C755" s="17" t="s">
        <v>354</v>
      </c>
      <c r="D755" s="12" t="s">
        <v>637</v>
      </c>
      <c r="E755" s="27">
        <f>0.832-0.558-0.072-(0.002)</f>
        <v>0.1999999999999999</v>
      </c>
    </row>
    <row r="756" spans="1:5" ht="34">
      <c r="A756" s="39" t="s">
        <v>959</v>
      </c>
      <c r="B756" s="15" t="s">
        <v>13</v>
      </c>
      <c r="C756" s="17" t="s">
        <v>354</v>
      </c>
      <c r="D756" s="12" t="s">
        <v>767</v>
      </c>
      <c r="E756" s="27">
        <f>1.67-0.836-0.262-0.322-0.092-(0.002)</f>
        <v>0.15599999999999994</v>
      </c>
    </row>
    <row r="757" spans="1:5" ht="34">
      <c r="A757" s="39" t="s">
        <v>959</v>
      </c>
      <c r="B757" s="15" t="s">
        <v>13</v>
      </c>
      <c r="C757" s="17" t="s">
        <v>354</v>
      </c>
      <c r="D757" s="12" t="s">
        <v>866</v>
      </c>
      <c r="E757" s="27">
        <f>4.21-0.834-0.842-0.838-0.281-0.563-0.286-(0.011)</f>
        <v>0.5549999999999996</v>
      </c>
    </row>
    <row r="758" spans="1:5" ht="34">
      <c r="A758" s="39" t="s">
        <v>959</v>
      </c>
      <c r="B758" s="15" t="s">
        <v>13</v>
      </c>
      <c r="C758" s="17" t="s">
        <v>354</v>
      </c>
      <c r="D758" s="12" t="s">
        <v>867</v>
      </c>
      <c r="E758" s="27">
        <f>0.838-0.356-0.387-(0.003)</f>
        <v>9.1999999999999971E-2</v>
      </c>
    </row>
    <row r="759" spans="1:5" ht="34">
      <c r="A759" s="39" t="s">
        <v>959</v>
      </c>
      <c r="B759" s="15" t="s">
        <v>13</v>
      </c>
      <c r="C759" s="17" t="s">
        <v>354</v>
      </c>
      <c r="D759" s="12" t="s">
        <v>47</v>
      </c>
      <c r="E759" s="27">
        <f>8.36-0.854-4</f>
        <v>3.5059999999999993</v>
      </c>
    </row>
    <row r="760" spans="1:5" ht="34">
      <c r="A760" s="39" t="s">
        <v>959</v>
      </c>
      <c r="B760" s="15" t="s">
        <v>13</v>
      </c>
      <c r="C760" s="11" t="s">
        <v>368</v>
      </c>
      <c r="D760" s="5" t="s">
        <v>423</v>
      </c>
      <c r="E760" s="27">
        <f>4.106-1.023-0.343-0.349</f>
        <v>2.391</v>
      </c>
    </row>
    <row r="761" spans="1:5" ht="34">
      <c r="A761" s="39" t="s">
        <v>959</v>
      </c>
      <c r="B761" s="15" t="s">
        <v>13</v>
      </c>
      <c r="C761" s="17" t="s">
        <v>382</v>
      </c>
      <c r="D761" s="5" t="s">
        <v>542</v>
      </c>
      <c r="E761" s="27">
        <f>0.96-0.326-0.162-0.322</f>
        <v>0.14999999999999986</v>
      </c>
    </row>
    <row r="762" spans="1:5" ht="34">
      <c r="A762" s="39" t="s">
        <v>959</v>
      </c>
      <c r="B762" s="15" t="s">
        <v>13</v>
      </c>
      <c r="C762" s="17" t="s">
        <v>382</v>
      </c>
      <c r="D762" s="5" t="s">
        <v>68</v>
      </c>
      <c r="E762" s="27">
        <f>5.85-0.974-0.968-0.974</f>
        <v>2.9339999999999993</v>
      </c>
    </row>
    <row r="763" spans="1:5" ht="34">
      <c r="A763" s="39" t="s">
        <v>959</v>
      </c>
      <c r="B763" s="15" t="s">
        <v>13</v>
      </c>
      <c r="C763" s="17" t="s">
        <v>382</v>
      </c>
      <c r="D763" s="5" t="s">
        <v>703</v>
      </c>
      <c r="E763" s="27">
        <f>0.968-0.244-0.348</f>
        <v>0.376</v>
      </c>
    </row>
    <row r="764" spans="1:5" ht="34">
      <c r="A764" s="39" t="s">
        <v>959</v>
      </c>
      <c r="B764" s="1" t="s">
        <v>13</v>
      </c>
      <c r="C764" s="17" t="s">
        <v>197</v>
      </c>
      <c r="D764" s="12" t="s">
        <v>153</v>
      </c>
      <c r="E764" s="27">
        <f>10.096-0.122-0.446-0.018-1.874-0.303-0.992-0.166-0.026-0.018-0.408-0.088-0.182-1.012-0.161</f>
        <v>4.2799999999999994</v>
      </c>
    </row>
    <row r="765" spans="1:5" ht="34">
      <c r="A765" s="39" t="s">
        <v>959</v>
      </c>
      <c r="B765" s="15" t="s">
        <v>13</v>
      </c>
      <c r="C765" s="17" t="s">
        <v>382</v>
      </c>
      <c r="D765" s="5" t="s">
        <v>921</v>
      </c>
      <c r="E765" s="27">
        <f>3.53-0.88-0.889-0.884-0.566-0.046-(0.005)-0.091-(0.002)-0.059</f>
        <v>0.10799999999999996</v>
      </c>
    </row>
    <row r="766" spans="1:5" ht="34">
      <c r="A766" s="39" t="s">
        <v>959</v>
      </c>
      <c r="B766" s="15" t="s">
        <v>13</v>
      </c>
      <c r="C766" s="17" t="s">
        <v>382</v>
      </c>
      <c r="D766" s="5" t="s">
        <v>30</v>
      </c>
      <c r="E766" s="27">
        <f>6.61-1.109-3.3</f>
        <v>2.2010000000000005</v>
      </c>
    </row>
    <row r="767" spans="1:5" ht="34">
      <c r="A767" s="39" t="s">
        <v>959</v>
      </c>
      <c r="B767" s="15" t="s">
        <v>13</v>
      </c>
      <c r="C767" s="17" t="s">
        <v>382</v>
      </c>
      <c r="D767" s="5" t="s">
        <v>922</v>
      </c>
      <c r="E767" s="27">
        <f>1.109-0.372-0.094-0.096</f>
        <v>0.54700000000000004</v>
      </c>
    </row>
    <row r="768" spans="1:5" ht="34">
      <c r="A768" s="39" t="s">
        <v>959</v>
      </c>
      <c r="B768" s="1" t="s">
        <v>13</v>
      </c>
      <c r="C768" s="17" t="s">
        <v>197</v>
      </c>
      <c r="D768" s="12" t="s">
        <v>126</v>
      </c>
      <c r="E768" s="27">
        <f>7.774-0.336-0.815-1.622-0.4-0.8-0.408-0.548</f>
        <v>2.8449999999999993</v>
      </c>
    </row>
    <row r="769" spans="1:5" ht="34">
      <c r="A769" s="39" t="s">
        <v>959</v>
      </c>
      <c r="B769" s="1" t="s">
        <v>13</v>
      </c>
      <c r="C769" s="17" t="s">
        <v>354</v>
      </c>
      <c r="D769" s="12" t="s">
        <v>215</v>
      </c>
      <c r="E769" s="27">
        <f>18.04-1.386-1.386-1.39-2.754-1.4-1.381+(1.381)-1.386-1.388-1.389</f>
        <v>5.5610000000000008</v>
      </c>
    </row>
    <row r="770" spans="1:5" ht="34">
      <c r="A770" s="39" t="s">
        <v>959</v>
      </c>
      <c r="B770" s="1" t="s">
        <v>13</v>
      </c>
      <c r="C770" s="17" t="s">
        <v>354</v>
      </c>
      <c r="D770" s="12" t="s">
        <v>923</v>
      </c>
      <c r="E770" s="27">
        <f>1.4-0.118-0.118-(0.02)-0.48-(0.002)-0.5</f>
        <v>0.16200000000000014</v>
      </c>
    </row>
    <row r="771" spans="1:5" ht="34">
      <c r="A771" s="39" t="s">
        <v>959</v>
      </c>
      <c r="B771" s="1" t="s">
        <v>13</v>
      </c>
      <c r="C771" s="17" t="s">
        <v>354</v>
      </c>
      <c r="D771" s="12" t="s">
        <v>868</v>
      </c>
      <c r="E771" s="27">
        <f>1.389-0.353-0.145-(0.001)-0.124-0.119</f>
        <v>0.64700000000000002</v>
      </c>
    </row>
    <row r="772" spans="1:5" ht="34">
      <c r="A772" s="39" t="s">
        <v>959</v>
      </c>
      <c r="B772" s="1" t="s">
        <v>13</v>
      </c>
      <c r="C772" s="17" t="s">
        <v>354</v>
      </c>
      <c r="D772" s="5" t="s">
        <v>682</v>
      </c>
      <c r="E772" s="27">
        <f>1.55-0.648-0.02</f>
        <v>0.88200000000000001</v>
      </c>
    </row>
    <row r="773" spans="1:5" ht="34">
      <c r="A773" s="39" t="s">
        <v>959</v>
      </c>
      <c r="B773" s="1" t="s">
        <v>13</v>
      </c>
      <c r="C773" s="17" t="s">
        <v>354</v>
      </c>
      <c r="D773" s="5" t="s">
        <v>777</v>
      </c>
      <c r="E773" s="27">
        <f>1.552</f>
        <v>1.552</v>
      </c>
    </row>
    <row r="774" spans="1:5" ht="34">
      <c r="A774" s="39" t="s">
        <v>959</v>
      </c>
      <c r="B774" s="15" t="s">
        <v>13</v>
      </c>
      <c r="C774" s="17" t="s">
        <v>197</v>
      </c>
      <c r="D774" s="12" t="s">
        <v>154</v>
      </c>
      <c r="E774" s="27">
        <f>7.73-0.046-0.654-1.267-0.642</f>
        <v>5.1209999999999996</v>
      </c>
    </row>
    <row r="775" spans="1:5" ht="34">
      <c r="A775" s="39" t="s">
        <v>959</v>
      </c>
      <c r="B775" s="15" t="s">
        <v>13</v>
      </c>
      <c r="C775" s="17" t="s">
        <v>382</v>
      </c>
      <c r="D775" s="12" t="s">
        <v>564</v>
      </c>
      <c r="E775" s="27">
        <f>3.38-1.69-0.61-0.368-(0.002)</f>
        <v>0.71000000000000008</v>
      </c>
    </row>
    <row r="776" spans="1:5" ht="34">
      <c r="A776" s="39" t="s">
        <v>959</v>
      </c>
      <c r="B776" s="15" t="s">
        <v>13</v>
      </c>
      <c r="C776" s="17" t="s">
        <v>354</v>
      </c>
      <c r="D776" s="12" t="s">
        <v>72</v>
      </c>
      <c r="E776" s="27">
        <f>16.45-1.644-1.588-3.346-1.68-1.65-3.194</f>
        <v>3.3479999999999999</v>
      </c>
    </row>
    <row r="777" spans="1:5" ht="34">
      <c r="A777" s="39" t="s">
        <v>959</v>
      </c>
      <c r="B777" s="15" t="s">
        <v>13</v>
      </c>
      <c r="C777" s="17" t="s">
        <v>354</v>
      </c>
      <c r="D777" s="12" t="s">
        <v>842</v>
      </c>
      <c r="E777" s="27">
        <f>1.65-0.206-0.134-0.588-(0.004)-0.297-(0.001)</f>
        <v>0.4200000000000001</v>
      </c>
    </row>
    <row r="778" spans="1:5" ht="34">
      <c r="A778" s="39" t="s">
        <v>959</v>
      </c>
      <c r="B778" s="15" t="s">
        <v>13</v>
      </c>
      <c r="C778" s="17" t="s">
        <v>354</v>
      </c>
      <c r="D778" s="12" t="s">
        <v>72</v>
      </c>
      <c r="E778" s="27">
        <f>5.06</f>
        <v>5.0599999999999996</v>
      </c>
    </row>
    <row r="779" spans="1:5" ht="34">
      <c r="A779" s="39" t="s">
        <v>959</v>
      </c>
      <c r="B779" s="15" t="s">
        <v>13</v>
      </c>
      <c r="C779" s="17" t="s">
        <v>197</v>
      </c>
      <c r="D779" s="12" t="s">
        <v>524</v>
      </c>
      <c r="E779" s="27">
        <f>0.61</f>
        <v>0.61</v>
      </c>
    </row>
    <row r="780" spans="1:5" ht="34">
      <c r="A780" s="39" t="s">
        <v>959</v>
      </c>
      <c r="B780" s="15" t="s">
        <v>13</v>
      </c>
      <c r="C780" s="17" t="s">
        <v>197</v>
      </c>
      <c r="D780" s="12" t="s">
        <v>520</v>
      </c>
      <c r="E780" s="27">
        <f>0.648</f>
        <v>0.64800000000000002</v>
      </c>
    </row>
    <row r="781" spans="1:5" ht="34">
      <c r="A781" s="39" t="s">
        <v>959</v>
      </c>
      <c r="B781" s="15" t="s">
        <v>13</v>
      </c>
      <c r="C781" s="17" t="s">
        <v>197</v>
      </c>
      <c r="D781" s="12" t="s">
        <v>134</v>
      </c>
      <c r="E781" s="27">
        <f>7.05-0.03-0.028-1.258-1.253-1.3-1.225-0.034</f>
        <v>1.9219999999999999</v>
      </c>
    </row>
    <row r="782" spans="1:5" ht="34">
      <c r="A782" s="39" t="s">
        <v>959</v>
      </c>
      <c r="B782" s="1" t="s">
        <v>13</v>
      </c>
      <c r="C782" s="17" t="s">
        <v>197</v>
      </c>
      <c r="D782" s="12" t="s">
        <v>134</v>
      </c>
      <c r="E782" s="27">
        <f>4.884-0.07-0.554-0.536-2.172</f>
        <v>1.5519999999999996</v>
      </c>
    </row>
    <row r="783" spans="1:5" ht="34">
      <c r="A783" s="39" t="s">
        <v>959</v>
      </c>
      <c r="B783" s="1" t="s">
        <v>13</v>
      </c>
      <c r="C783" s="17" t="s">
        <v>354</v>
      </c>
      <c r="D783" s="12" t="s">
        <v>698</v>
      </c>
      <c r="E783" s="27">
        <f>1.602-0.55-0.916</f>
        <v>0.13600000000000001</v>
      </c>
    </row>
    <row r="784" spans="1:5" ht="34">
      <c r="A784" s="39" t="s">
        <v>959</v>
      </c>
      <c r="B784" s="1" t="s">
        <v>13</v>
      </c>
      <c r="C784" s="17" t="s">
        <v>354</v>
      </c>
      <c r="D784" s="12" t="s">
        <v>824</v>
      </c>
      <c r="E784" s="27">
        <f>1.62-0.252-0.05-(0.012)-0.384-(0.002)-0.56-(0.003)</f>
        <v>0.35699999999999998</v>
      </c>
    </row>
    <row r="785" spans="1:5" ht="34">
      <c r="A785" s="39" t="s">
        <v>959</v>
      </c>
      <c r="B785" s="1" t="s">
        <v>13</v>
      </c>
      <c r="C785" s="17" t="s">
        <v>354</v>
      </c>
      <c r="D785" s="12" t="s">
        <v>680</v>
      </c>
      <c r="E785" s="27">
        <f>6.59-1.666</f>
        <v>4.9239999999999995</v>
      </c>
    </row>
    <row r="786" spans="1:5" ht="34">
      <c r="A786" s="39" t="s">
        <v>959</v>
      </c>
      <c r="B786" s="1" t="s">
        <v>13</v>
      </c>
      <c r="C786" s="17" t="s">
        <v>354</v>
      </c>
      <c r="D786" s="12" t="s">
        <v>924</v>
      </c>
      <c r="E786" s="27">
        <f>1.666-0.516-0.181</f>
        <v>0.96899999999999986</v>
      </c>
    </row>
    <row r="787" spans="1:5" ht="34">
      <c r="A787" s="39" t="s">
        <v>959</v>
      </c>
      <c r="B787" s="1" t="s">
        <v>13</v>
      </c>
      <c r="C787" s="17" t="s">
        <v>197</v>
      </c>
      <c r="D787" s="12" t="s">
        <v>171</v>
      </c>
      <c r="E787" s="27">
        <f>8.064</f>
        <v>8.0640000000000001</v>
      </c>
    </row>
    <row r="788" spans="1:5" ht="34">
      <c r="A788" s="39" t="s">
        <v>959</v>
      </c>
      <c r="B788" s="1" t="s">
        <v>13</v>
      </c>
      <c r="C788" s="17" t="s">
        <v>354</v>
      </c>
      <c r="D788" s="5" t="s">
        <v>667</v>
      </c>
      <c r="E788" s="27">
        <f>4.96-1.556-1.71-0.166+(0.002)-0.916-0.542</f>
        <v>7.1999999999999953E-2</v>
      </c>
    </row>
    <row r="789" spans="1:5" ht="34">
      <c r="A789" s="39" t="s">
        <v>959</v>
      </c>
      <c r="B789" s="1" t="s">
        <v>13</v>
      </c>
      <c r="C789" s="17" t="s">
        <v>197</v>
      </c>
      <c r="D789" s="12" t="s">
        <v>172</v>
      </c>
      <c r="E789" s="27">
        <f>3.388-1.056-2.097</f>
        <v>0.23499999999999988</v>
      </c>
    </row>
    <row r="790" spans="1:5" ht="34">
      <c r="A790" s="39" t="s">
        <v>959</v>
      </c>
      <c r="B790" s="1" t="s">
        <v>13</v>
      </c>
      <c r="C790" s="17" t="s">
        <v>197</v>
      </c>
      <c r="D790" s="12" t="s">
        <v>172</v>
      </c>
      <c r="E790" s="27">
        <f>3.914-0.77</f>
        <v>3.1440000000000001</v>
      </c>
    </row>
    <row r="791" spans="1:5" ht="34">
      <c r="A791" s="39" t="s">
        <v>959</v>
      </c>
      <c r="B791" s="1" t="s">
        <v>13</v>
      </c>
      <c r="C791" s="17" t="s">
        <v>354</v>
      </c>
      <c r="D791" s="15" t="s">
        <v>675</v>
      </c>
      <c r="E791" s="31">
        <f>1.664-1.148-0.222-(0.006)</f>
        <v>0.28800000000000003</v>
      </c>
    </row>
    <row r="792" spans="1:5" ht="34">
      <c r="A792" s="39" t="s">
        <v>959</v>
      </c>
      <c r="B792" s="1" t="s">
        <v>13</v>
      </c>
      <c r="C792" s="17" t="s">
        <v>354</v>
      </c>
      <c r="D792" s="15" t="s">
        <v>437</v>
      </c>
      <c r="E792" s="31">
        <f>10.22-1.724-1.694-1.696-1.704</f>
        <v>3.402000000000001</v>
      </c>
    </row>
    <row r="793" spans="1:5" ht="34">
      <c r="A793" s="39" t="s">
        <v>959</v>
      </c>
      <c r="B793" s="1" t="s">
        <v>13</v>
      </c>
      <c r="C793" s="17" t="s">
        <v>354</v>
      </c>
      <c r="D793" s="15" t="s">
        <v>732</v>
      </c>
      <c r="E793" s="31">
        <f>1.696-0.448</f>
        <v>1.248</v>
      </c>
    </row>
    <row r="794" spans="1:5" ht="34">
      <c r="A794" s="39" t="s">
        <v>959</v>
      </c>
      <c r="B794" s="1" t="s">
        <v>13</v>
      </c>
      <c r="C794" s="17" t="s">
        <v>354</v>
      </c>
      <c r="D794" s="15" t="s">
        <v>699</v>
      </c>
      <c r="E794" s="31">
        <f>1.724-0.444-1.12-(0.002)</f>
        <v>0.15799999999999992</v>
      </c>
    </row>
    <row r="795" spans="1:5" ht="34">
      <c r="A795" s="39" t="s">
        <v>959</v>
      </c>
      <c r="B795" s="1" t="s">
        <v>13</v>
      </c>
      <c r="C795" s="17" t="s">
        <v>354</v>
      </c>
      <c r="D795" s="15" t="s">
        <v>694</v>
      </c>
      <c r="E795" s="31">
        <f>1.694-1.336</f>
        <v>0.35799999999999987</v>
      </c>
    </row>
    <row r="796" spans="1:5" ht="34">
      <c r="A796" s="39" t="s">
        <v>959</v>
      </c>
      <c r="B796" s="1" t="s">
        <v>13</v>
      </c>
      <c r="C796" s="17" t="s">
        <v>354</v>
      </c>
      <c r="D796" s="15" t="s">
        <v>681</v>
      </c>
      <c r="E796" s="31">
        <f>5.46-1.774</f>
        <v>3.6859999999999999</v>
      </c>
    </row>
    <row r="797" spans="1:5" ht="34">
      <c r="A797" s="39" t="s">
        <v>959</v>
      </c>
      <c r="B797" s="1" t="s">
        <v>13</v>
      </c>
      <c r="C797" s="17" t="s">
        <v>354</v>
      </c>
      <c r="D797" s="15" t="s">
        <v>693</v>
      </c>
      <c r="E797" s="31">
        <f>1.774-0.988</f>
        <v>0.78600000000000003</v>
      </c>
    </row>
    <row r="798" spans="1:5" ht="34">
      <c r="A798" s="39" t="s">
        <v>959</v>
      </c>
      <c r="B798" s="15" t="s">
        <v>13</v>
      </c>
      <c r="C798" s="17" t="s">
        <v>197</v>
      </c>
      <c r="D798" s="12" t="s">
        <v>925</v>
      </c>
      <c r="E798" s="27">
        <f>0.242-0.104</f>
        <v>0.13800000000000001</v>
      </c>
    </row>
    <row r="799" spans="1:5" ht="34">
      <c r="A799" s="39" t="s">
        <v>959</v>
      </c>
      <c r="B799" s="15" t="s">
        <v>13</v>
      </c>
      <c r="C799" s="17" t="s">
        <v>197</v>
      </c>
      <c r="D799" s="12" t="s">
        <v>127</v>
      </c>
      <c r="E799" s="27">
        <f>4.726-0.366-0.018</f>
        <v>4.3420000000000005</v>
      </c>
    </row>
    <row r="800" spans="1:5" ht="34">
      <c r="A800" s="39" t="s">
        <v>959</v>
      </c>
      <c r="B800" s="15" t="s">
        <v>13</v>
      </c>
      <c r="C800" s="15" t="s">
        <v>894</v>
      </c>
      <c r="D800" s="12" t="s">
        <v>127</v>
      </c>
      <c r="E800" s="27">
        <f>5.196-3.871</f>
        <v>1.3249999999999997</v>
      </c>
    </row>
    <row r="801" spans="1:5" ht="34">
      <c r="A801" s="39" t="s">
        <v>959</v>
      </c>
      <c r="B801" s="15" t="s">
        <v>13</v>
      </c>
      <c r="C801" s="15" t="s">
        <v>354</v>
      </c>
      <c r="D801" s="5" t="s">
        <v>533</v>
      </c>
      <c r="E801" s="27">
        <f>1.81-1.226-(0.014)-0.288-(0.02)</f>
        <v>0.26200000000000007</v>
      </c>
    </row>
    <row r="802" spans="1:5" ht="34">
      <c r="A802" s="39" t="s">
        <v>959</v>
      </c>
      <c r="B802" s="15" t="s">
        <v>13</v>
      </c>
      <c r="C802" s="15" t="s">
        <v>354</v>
      </c>
      <c r="D802" s="5" t="s">
        <v>539</v>
      </c>
      <c r="E802" s="27">
        <f>1.57-0.67-0.3-(0.004)-0.13-(0.002)-0.294-(0.014)</f>
        <v>0.15600000000000008</v>
      </c>
    </row>
    <row r="803" spans="1:5" ht="34">
      <c r="A803" s="39" t="s">
        <v>959</v>
      </c>
      <c r="B803" s="15" t="s">
        <v>13</v>
      </c>
      <c r="C803" s="15" t="s">
        <v>354</v>
      </c>
      <c r="D803" s="5" t="s">
        <v>674</v>
      </c>
      <c r="E803" s="27">
        <f>3.55-1.728-1.41-(0.012)</f>
        <v>0.39999999999999991</v>
      </c>
    </row>
    <row r="804" spans="1:5" ht="34">
      <c r="A804" s="39" t="s">
        <v>959</v>
      </c>
      <c r="B804" s="15" t="s">
        <v>13</v>
      </c>
      <c r="C804" s="15" t="s">
        <v>354</v>
      </c>
      <c r="D804" s="5" t="s">
        <v>704</v>
      </c>
      <c r="E804" s="27">
        <f>1.78-0.91-(0.016)-0.464-(0.002)</f>
        <v>0.38799999999999996</v>
      </c>
    </row>
    <row r="805" spans="1:5" ht="34">
      <c r="A805" s="39" t="s">
        <v>959</v>
      </c>
      <c r="B805" s="15" t="s">
        <v>13</v>
      </c>
      <c r="C805" s="15" t="s">
        <v>354</v>
      </c>
      <c r="D805" s="5" t="s">
        <v>77</v>
      </c>
      <c r="E805" s="27">
        <f>11.1-3.699-1.818-1.836-1.817-(0.1)</f>
        <v>1.8299999999999998</v>
      </c>
    </row>
    <row r="806" spans="1:5" ht="34">
      <c r="A806" s="39" t="s">
        <v>959</v>
      </c>
      <c r="B806" s="15" t="s">
        <v>13</v>
      </c>
      <c r="C806" s="15" t="s">
        <v>354</v>
      </c>
      <c r="D806" s="5" t="s">
        <v>880</v>
      </c>
      <c r="E806" s="27">
        <f>1.817-1.168</f>
        <v>0.64900000000000002</v>
      </c>
    </row>
    <row r="807" spans="1:5" ht="34">
      <c r="A807" s="39" t="s">
        <v>959</v>
      </c>
      <c r="B807" s="15" t="s">
        <v>13</v>
      </c>
      <c r="C807" s="15" t="s">
        <v>200</v>
      </c>
      <c r="D807" s="5" t="s">
        <v>402</v>
      </c>
      <c r="E807" s="27">
        <f>1.83-1.228-(0.002)-0.222-0.15-(0.004)</f>
        <v>0.22400000000000012</v>
      </c>
    </row>
    <row r="808" spans="1:5" ht="34">
      <c r="A808" s="39" t="s">
        <v>959</v>
      </c>
      <c r="B808" s="15" t="s">
        <v>13</v>
      </c>
      <c r="C808" s="15" t="s">
        <v>382</v>
      </c>
      <c r="D808" s="5" t="s">
        <v>286</v>
      </c>
      <c r="E808" s="27">
        <f>5.32-1.83</f>
        <v>3.49</v>
      </c>
    </row>
    <row r="809" spans="1:5" ht="34">
      <c r="A809" s="39" t="s">
        <v>959</v>
      </c>
      <c r="B809" s="15" t="s">
        <v>13</v>
      </c>
      <c r="C809" s="15" t="s">
        <v>382</v>
      </c>
      <c r="D809" s="5" t="s">
        <v>810</v>
      </c>
      <c r="E809" s="27">
        <f>1.83-0.106</f>
        <v>1.724</v>
      </c>
    </row>
    <row r="810" spans="1:5" ht="34">
      <c r="A810" s="39" t="s">
        <v>959</v>
      </c>
      <c r="B810" s="15" t="s">
        <v>13</v>
      </c>
      <c r="C810" s="15" t="s">
        <v>120</v>
      </c>
      <c r="D810" s="5" t="s">
        <v>670</v>
      </c>
      <c r="E810" s="29">
        <f>1.302-0.42-0.157-0.409-0.044-0.102-0.09-0.008</f>
        <v>7.2000000000000147E-2</v>
      </c>
    </row>
    <row r="811" spans="1:5" ht="34">
      <c r="A811" s="39" t="s">
        <v>959</v>
      </c>
      <c r="B811" s="15" t="s">
        <v>13</v>
      </c>
      <c r="C811" s="15" t="s">
        <v>894</v>
      </c>
      <c r="D811" s="5" t="s">
        <v>183</v>
      </c>
      <c r="E811" s="27">
        <f>7.984</f>
        <v>7.984</v>
      </c>
    </row>
    <row r="812" spans="1:5" ht="34">
      <c r="A812" s="39" t="s">
        <v>959</v>
      </c>
      <c r="B812" s="1" t="s">
        <v>13</v>
      </c>
      <c r="C812" s="17" t="s">
        <v>200</v>
      </c>
      <c r="D812" s="12" t="s">
        <v>289</v>
      </c>
      <c r="E812" s="27">
        <f>0.068</f>
        <v>6.8000000000000005E-2</v>
      </c>
    </row>
    <row r="813" spans="1:5" ht="34">
      <c r="A813" s="39" t="s">
        <v>959</v>
      </c>
      <c r="B813" s="15" t="s">
        <v>13</v>
      </c>
      <c r="C813" s="17" t="s">
        <v>354</v>
      </c>
      <c r="D813" s="5" t="s">
        <v>633</v>
      </c>
      <c r="E813" s="27">
        <f>5.37-3.466-1.126-(0.166)-0.344-(0.004)</f>
        <v>0.26400000000000001</v>
      </c>
    </row>
    <row r="814" spans="1:5" ht="34">
      <c r="A814" s="39" t="s">
        <v>959</v>
      </c>
      <c r="B814" s="15" t="s">
        <v>13</v>
      </c>
      <c r="C814" s="17" t="s">
        <v>354</v>
      </c>
      <c r="D814" s="5" t="s">
        <v>74</v>
      </c>
      <c r="E814" s="27">
        <f>5.55-1.762</f>
        <v>3.7879999999999998</v>
      </c>
    </row>
    <row r="815" spans="1:5" ht="34">
      <c r="A815" s="39" t="s">
        <v>959</v>
      </c>
      <c r="B815" s="15" t="s">
        <v>13</v>
      </c>
      <c r="C815" s="17" t="s">
        <v>354</v>
      </c>
      <c r="D815" s="5" t="s">
        <v>795</v>
      </c>
      <c r="E815" s="27">
        <f>1.798-0.206-0.094-0.83-(0.018)</f>
        <v>0.65</v>
      </c>
    </row>
    <row r="816" spans="1:5" ht="34">
      <c r="A816" s="39" t="s">
        <v>959</v>
      </c>
      <c r="B816" s="15" t="s">
        <v>13</v>
      </c>
      <c r="C816" s="15" t="s">
        <v>894</v>
      </c>
      <c r="D816" s="5" t="s">
        <v>128</v>
      </c>
      <c r="E816" s="27">
        <f>7.773</f>
        <v>7.7729999999999997</v>
      </c>
    </row>
    <row r="817" spans="1:5" ht="34">
      <c r="A817" s="39" t="s">
        <v>959</v>
      </c>
      <c r="B817" s="1" t="s">
        <v>13</v>
      </c>
      <c r="C817" s="17" t="s">
        <v>354</v>
      </c>
      <c r="D817" s="5" t="s">
        <v>494</v>
      </c>
      <c r="E817" s="27">
        <f>1.756-1.072-0.138-(0.006)</f>
        <v>0.53999999999999992</v>
      </c>
    </row>
    <row r="818" spans="1:5" ht="34">
      <c r="A818" s="39" t="s">
        <v>959</v>
      </c>
      <c r="B818" s="1" t="s">
        <v>13</v>
      </c>
      <c r="C818" s="17" t="s">
        <v>354</v>
      </c>
      <c r="D818" s="5" t="s">
        <v>80</v>
      </c>
      <c r="E818" s="27">
        <f>3.67</f>
        <v>3.67</v>
      </c>
    </row>
    <row r="819" spans="1:5" ht="34">
      <c r="A819" s="39" t="s">
        <v>959</v>
      </c>
      <c r="B819" s="15" t="s">
        <v>13</v>
      </c>
      <c r="C819" s="15" t="s">
        <v>565</v>
      </c>
      <c r="D819" s="5" t="s">
        <v>177</v>
      </c>
      <c r="E819" s="29">
        <f>4.52-0.16-0.524-0.052-2.302</f>
        <v>1.4819999999999993</v>
      </c>
    </row>
    <row r="820" spans="1:5" ht="34">
      <c r="A820" s="39" t="s">
        <v>959</v>
      </c>
      <c r="B820" s="1" t="s">
        <v>13</v>
      </c>
      <c r="C820" s="17" t="s">
        <v>64</v>
      </c>
      <c r="D820" s="5" t="s">
        <v>199</v>
      </c>
      <c r="E820" s="27">
        <f>5.48-1.84-1.82-0.44-0.026-0.76-0.165-0.322-0.005</f>
        <v>0.10200000000000048</v>
      </c>
    </row>
    <row r="821" spans="1:5" ht="34">
      <c r="A821" s="39" t="s">
        <v>959</v>
      </c>
      <c r="B821" s="1" t="s">
        <v>13</v>
      </c>
      <c r="C821" s="17" t="s">
        <v>382</v>
      </c>
      <c r="D821" s="5" t="s">
        <v>89</v>
      </c>
      <c r="E821" s="27">
        <f>3.74-1.87</f>
        <v>1.87</v>
      </c>
    </row>
    <row r="822" spans="1:5" ht="34">
      <c r="A822" s="39" t="s">
        <v>959</v>
      </c>
      <c r="B822" s="1" t="s">
        <v>13</v>
      </c>
      <c r="C822" s="17" t="s">
        <v>354</v>
      </c>
      <c r="D822" s="5" t="s">
        <v>773</v>
      </c>
      <c r="E822" s="27">
        <f>5.55-1.834-1.812-0.866-(0.082)-0.726-(0.004)</f>
        <v>0.22599999999999987</v>
      </c>
    </row>
    <row r="823" spans="1:5" ht="34">
      <c r="A823" s="39" t="s">
        <v>959</v>
      </c>
      <c r="B823" s="1" t="s">
        <v>13</v>
      </c>
      <c r="C823" s="17" t="s">
        <v>382</v>
      </c>
      <c r="D823" s="5" t="s">
        <v>561</v>
      </c>
      <c r="E823" s="27">
        <f>3.69-1.844-0.316-(0.016)-0.916-(0.004)-0.312</f>
        <v>0.28199999999999975</v>
      </c>
    </row>
    <row r="824" spans="1:5" ht="34">
      <c r="A824" s="39" t="s">
        <v>959</v>
      </c>
      <c r="B824" s="1" t="s">
        <v>13</v>
      </c>
      <c r="C824" s="17" t="s">
        <v>354</v>
      </c>
      <c r="D824" s="5" t="s">
        <v>123</v>
      </c>
      <c r="E824" s="27">
        <f>5.52</f>
        <v>5.52</v>
      </c>
    </row>
    <row r="825" spans="1:5" ht="34">
      <c r="A825" s="39" t="s">
        <v>959</v>
      </c>
      <c r="B825" s="15" t="s">
        <v>13</v>
      </c>
      <c r="C825" s="15" t="s">
        <v>155</v>
      </c>
      <c r="D825" s="5" t="s">
        <v>499</v>
      </c>
      <c r="E825" s="29">
        <f>6.385-1.5</f>
        <v>4.8849999999999998</v>
      </c>
    </row>
    <row r="826" spans="1:5" ht="34">
      <c r="A826" s="39" t="s">
        <v>959</v>
      </c>
      <c r="B826" s="1" t="s">
        <v>13</v>
      </c>
      <c r="C826" s="17" t="s">
        <v>200</v>
      </c>
      <c r="D826" s="5" t="s">
        <v>369</v>
      </c>
      <c r="E826" s="27">
        <f>1.79-0.972-0.452-0.014-0.076-(0.028)</f>
        <v>0.24800000000000003</v>
      </c>
    </row>
    <row r="827" spans="1:5" ht="34">
      <c r="A827" s="39" t="s">
        <v>959</v>
      </c>
      <c r="B827" s="1" t="s">
        <v>13</v>
      </c>
      <c r="C827" s="17" t="s">
        <v>200</v>
      </c>
      <c r="D827" s="5" t="s">
        <v>926</v>
      </c>
      <c r="E827" s="27">
        <f>0.04</f>
        <v>0.04</v>
      </c>
    </row>
    <row r="828" spans="1:5" ht="34">
      <c r="A828" s="39" t="s">
        <v>959</v>
      </c>
      <c r="B828" s="1" t="s">
        <v>13</v>
      </c>
      <c r="C828" s="17" t="s">
        <v>354</v>
      </c>
      <c r="D828" s="5" t="s">
        <v>363</v>
      </c>
      <c r="E828" s="27">
        <f>5.45</f>
        <v>5.45</v>
      </c>
    </row>
    <row r="829" spans="1:5" ht="34">
      <c r="A829" s="39" t="s">
        <v>959</v>
      </c>
      <c r="B829" s="1" t="s">
        <v>13</v>
      </c>
      <c r="C829" s="17" t="s">
        <v>354</v>
      </c>
      <c r="D829" s="5" t="s">
        <v>363</v>
      </c>
      <c r="E829" s="27">
        <f>1.83</f>
        <v>1.83</v>
      </c>
    </row>
    <row r="830" spans="1:5" ht="34">
      <c r="A830" s="39" t="s">
        <v>959</v>
      </c>
      <c r="B830" s="15" t="s">
        <v>13</v>
      </c>
      <c r="C830" s="15" t="s">
        <v>155</v>
      </c>
      <c r="D830" s="5" t="s">
        <v>500</v>
      </c>
      <c r="E830" s="29">
        <f>6.996-1.642-1.014</f>
        <v>4.3400000000000007</v>
      </c>
    </row>
    <row r="831" spans="1:5" ht="34">
      <c r="A831" s="39" t="s">
        <v>959</v>
      </c>
      <c r="B831" s="1" t="s">
        <v>13</v>
      </c>
      <c r="C831" s="17" t="s">
        <v>744</v>
      </c>
      <c r="D831" s="5" t="s">
        <v>441</v>
      </c>
      <c r="E831" s="27">
        <f>3.69</f>
        <v>3.69</v>
      </c>
    </row>
    <row r="832" spans="1:5" ht="34">
      <c r="A832" s="39" t="s">
        <v>959</v>
      </c>
      <c r="B832" s="15" t="s">
        <v>13</v>
      </c>
      <c r="C832" s="15" t="s">
        <v>155</v>
      </c>
      <c r="D832" s="5" t="s">
        <v>501</v>
      </c>
      <c r="E832" s="29">
        <f>2.739-0.094-0.638-0.32</f>
        <v>1.6870000000000001</v>
      </c>
    </row>
    <row r="833" spans="1:5" ht="34">
      <c r="A833" s="39" t="s">
        <v>959</v>
      </c>
      <c r="B833" s="15" t="s">
        <v>13</v>
      </c>
      <c r="C833" s="15" t="s">
        <v>155</v>
      </c>
      <c r="D833" s="5" t="s">
        <v>568</v>
      </c>
      <c r="E833" s="29">
        <f>0.578-0.524</f>
        <v>5.3999999999999937E-2</v>
      </c>
    </row>
    <row r="834" spans="1:5" ht="34">
      <c r="A834" s="39" t="s">
        <v>959</v>
      </c>
      <c r="B834" s="15" t="s">
        <v>13</v>
      </c>
      <c r="C834" s="15" t="s">
        <v>155</v>
      </c>
      <c r="D834" s="5" t="s">
        <v>746</v>
      </c>
      <c r="E834" s="29">
        <f>0.1</f>
        <v>0.1</v>
      </c>
    </row>
    <row r="835" spans="1:5" ht="34">
      <c r="A835" s="39" t="s">
        <v>959</v>
      </c>
      <c r="B835" s="1" t="s">
        <v>292</v>
      </c>
      <c r="C835" s="17" t="s">
        <v>293</v>
      </c>
      <c r="D835" s="16" t="s">
        <v>5</v>
      </c>
      <c r="E835" s="25">
        <f>4.275-0.314-0.04-0.414-0.044-0.042-0.04</f>
        <v>3.3810000000000002</v>
      </c>
    </row>
    <row r="836" spans="1:5" ht="34">
      <c r="A836" s="39" t="s">
        <v>959</v>
      </c>
      <c r="B836" s="1" t="s">
        <v>292</v>
      </c>
      <c r="C836" s="17" t="s">
        <v>293</v>
      </c>
      <c r="D836" s="16" t="s">
        <v>294</v>
      </c>
      <c r="E836" s="25">
        <f>3.62-1.81-0.905</f>
        <v>0.90500000000000003</v>
      </c>
    </row>
    <row r="837" spans="1:5" ht="34">
      <c r="A837" s="39" t="s">
        <v>959</v>
      </c>
      <c r="B837" s="1" t="s">
        <v>55</v>
      </c>
      <c r="C837" s="17" t="s">
        <v>202</v>
      </c>
      <c r="D837" s="16" t="s">
        <v>8</v>
      </c>
      <c r="E837" s="25">
        <f>1.8-0.278-0.046-0.232-0.14-0.048-0.046-0.047-0.048-0.048-0.05-0.05-0.048-0.243-0.048-0.048-0.048</f>
        <v>0.3319999999999998</v>
      </c>
    </row>
    <row r="838" spans="1:5" ht="34">
      <c r="A838" s="39" t="s">
        <v>959</v>
      </c>
      <c r="B838" s="1" t="s">
        <v>55</v>
      </c>
      <c r="C838" s="17" t="s">
        <v>181</v>
      </c>
      <c r="D838" s="5" t="s">
        <v>152</v>
      </c>
      <c r="E838" s="27">
        <f>7.2-0.102-0.136-0.068</f>
        <v>6.8940000000000001</v>
      </c>
    </row>
    <row r="839" spans="1:5" ht="34">
      <c r="A839" s="39" t="s">
        <v>959</v>
      </c>
      <c r="B839" s="1" t="s">
        <v>55</v>
      </c>
      <c r="C839" s="17" t="s">
        <v>181</v>
      </c>
      <c r="D839" s="5" t="s">
        <v>133</v>
      </c>
      <c r="E839" s="27">
        <f>1.71-0.144-0.09-0.074-0.09-0.965-0.135-0.176</f>
        <v>3.5999999999999865E-2</v>
      </c>
    </row>
    <row r="840" spans="1:5" ht="34">
      <c r="A840" s="39" t="s">
        <v>959</v>
      </c>
      <c r="B840" s="1" t="s">
        <v>55</v>
      </c>
      <c r="C840" s="17" t="s">
        <v>181</v>
      </c>
      <c r="D840" s="5" t="s">
        <v>133</v>
      </c>
      <c r="E840" s="27">
        <f>5.08-0.102-0.112-0.08-0.334-0.026-0.08</f>
        <v>4.3460000000000001</v>
      </c>
    </row>
    <row r="841" spans="1:5" ht="34">
      <c r="A841" s="39" t="s">
        <v>959</v>
      </c>
      <c r="B841" s="1" t="s">
        <v>55</v>
      </c>
      <c r="C841" s="17" t="s">
        <v>181</v>
      </c>
      <c r="D841" s="5" t="s">
        <v>133</v>
      </c>
      <c r="E841" s="27">
        <f>1.59</f>
        <v>1.59</v>
      </c>
    </row>
    <row r="842" spans="1:5" ht="34">
      <c r="A842" s="39" t="s">
        <v>959</v>
      </c>
      <c r="B842" s="1" t="s">
        <v>55</v>
      </c>
      <c r="C842" s="17" t="s">
        <v>181</v>
      </c>
      <c r="D842" s="5" t="s">
        <v>145</v>
      </c>
      <c r="E842" s="27">
        <f>1.676-0.098-0.07</f>
        <v>1.5079999999999998</v>
      </c>
    </row>
    <row r="843" spans="1:5" ht="34">
      <c r="A843" s="39" t="s">
        <v>959</v>
      </c>
      <c r="B843" s="1" t="s">
        <v>55</v>
      </c>
      <c r="C843" s="17" t="s">
        <v>181</v>
      </c>
      <c r="D843" s="5" t="s">
        <v>249</v>
      </c>
      <c r="E843" s="27">
        <f>0.82-0.018-0.031-0.072-0.183-0.08-0.118-0.016-0.078-0.02</f>
        <v>0.20399999999999999</v>
      </c>
    </row>
    <row r="844" spans="1:5" ht="34">
      <c r="A844" s="39" t="s">
        <v>959</v>
      </c>
      <c r="B844" s="1" t="s">
        <v>55</v>
      </c>
      <c r="C844" s="17" t="s">
        <v>181</v>
      </c>
      <c r="D844" s="5" t="s">
        <v>249</v>
      </c>
      <c r="E844" s="27">
        <f>1.314-0.09-0.244-0.324-0.08</f>
        <v>0.57599999999999996</v>
      </c>
    </row>
    <row r="845" spans="1:5" ht="34">
      <c r="A845" s="39" t="s">
        <v>959</v>
      </c>
      <c r="B845" s="1" t="s">
        <v>55</v>
      </c>
      <c r="C845" s="17" t="s">
        <v>181</v>
      </c>
      <c r="D845" s="5" t="s">
        <v>153</v>
      </c>
      <c r="E845" s="27">
        <f>2.798-0.713-0.652-0.096-0.134-0.134-0.094-0.178-0.036-0.132-0.23-0.052-0.108-0.062-0.136</f>
        <v>4.0999999999999925E-2</v>
      </c>
    </row>
    <row r="846" spans="1:5" ht="34">
      <c r="A846" s="39" t="s">
        <v>959</v>
      </c>
      <c r="B846" s="1" t="s">
        <v>55</v>
      </c>
      <c r="C846" s="17" t="s">
        <v>181</v>
      </c>
      <c r="D846" s="5" t="s">
        <v>126</v>
      </c>
      <c r="E846" s="27">
        <f>6.408-0.3-0.384-0.03-0.154-0.122-0.214-0.164-0.048-0.424-0.04-0.15-0.202-0.098-0.224-0.18</f>
        <v>3.673999999999999</v>
      </c>
    </row>
    <row r="847" spans="1:5" ht="34">
      <c r="A847" s="39" t="s">
        <v>959</v>
      </c>
      <c r="B847" s="1" t="s">
        <v>55</v>
      </c>
      <c r="C847" s="17" t="s">
        <v>181</v>
      </c>
      <c r="D847" s="5" t="s">
        <v>126</v>
      </c>
      <c r="E847" s="27">
        <f>5.064</f>
        <v>5.0640000000000001</v>
      </c>
    </row>
    <row r="848" spans="1:5" ht="34">
      <c r="A848" s="39" t="s">
        <v>959</v>
      </c>
      <c r="B848" s="1" t="s">
        <v>55</v>
      </c>
      <c r="C848" s="17" t="s">
        <v>181</v>
      </c>
      <c r="D848" s="5" t="s">
        <v>154</v>
      </c>
      <c r="E848" s="27">
        <f>1.264-0.144-0.282-0.064-0.082-0.152-0.082-0.034-0.324</f>
        <v>0.10000000000000003</v>
      </c>
    </row>
    <row r="849" spans="1:5" ht="34">
      <c r="A849" s="39" t="s">
        <v>959</v>
      </c>
      <c r="B849" s="1" t="s">
        <v>55</v>
      </c>
      <c r="C849" s="17" t="s">
        <v>181</v>
      </c>
      <c r="D849" s="5" t="s">
        <v>154</v>
      </c>
      <c r="E849" s="27">
        <f>5.822-0.644-0.084-0.034-0.198-0.27-1.19-0.394-0.204-0.134-0.198-0.67-1</f>
        <v>0.80200000000000049</v>
      </c>
    </row>
    <row r="850" spans="1:5" ht="34">
      <c r="A850" s="39" t="s">
        <v>959</v>
      </c>
      <c r="B850" s="1" t="s">
        <v>55</v>
      </c>
      <c r="C850" s="17" t="s">
        <v>181</v>
      </c>
      <c r="D850" s="5" t="s">
        <v>134</v>
      </c>
      <c r="E850" s="27">
        <f>2.706-0.664-0.462-0.062-0.024-0.23-0.134-0.128-0.048-0.048-0.308-0.048-0.132</f>
        <v>0.41799999999999959</v>
      </c>
    </row>
    <row r="851" spans="1:5" ht="34">
      <c r="A851" s="39" t="s">
        <v>959</v>
      </c>
      <c r="B851" s="1" t="s">
        <v>55</v>
      </c>
      <c r="C851" s="17" t="s">
        <v>181</v>
      </c>
      <c r="D851" s="5" t="s">
        <v>134</v>
      </c>
      <c r="E851" s="27">
        <f>7.896-0.42-0.942-0.234-0.156-1</f>
        <v>5.1440000000000001</v>
      </c>
    </row>
    <row r="852" spans="1:5" ht="34">
      <c r="A852" s="39" t="s">
        <v>959</v>
      </c>
      <c r="B852" s="1" t="s">
        <v>55</v>
      </c>
      <c r="C852" s="17" t="s">
        <v>197</v>
      </c>
      <c r="D852" s="5" t="s">
        <v>172</v>
      </c>
      <c r="E852" s="27">
        <f>3.676-1.82-0.326-0.921</f>
        <v>0.60899999999999999</v>
      </c>
    </row>
    <row r="853" spans="1:5" ht="34">
      <c r="A853" s="39" t="s">
        <v>959</v>
      </c>
      <c r="B853" s="1" t="s">
        <v>55</v>
      </c>
      <c r="C853" s="17" t="s">
        <v>155</v>
      </c>
      <c r="D853" s="5" t="s">
        <v>172</v>
      </c>
      <c r="E853" s="27">
        <f>4.741</f>
        <v>4.7409999999999997</v>
      </c>
    </row>
    <row r="854" spans="1:5" ht="34">
      <c r="A854" s="39" t="s">
        <v>959</v>
      </c>
      <c r="B854" s="1" t="s">
        <v>55</v>
      </c>
      <c r="C854" s="17" t="s">
        <v>181</v>
      </c>
      <c r="D854" s="5" t="s">
        <v>173</v>
      </c>
      <c r="E854" s="27">
        <f>1.794-0.252-0.122-0.412</f>
        <v>1.008</v>
      </c>
    </row>
    <row r="855" spans="1:5" ht="34">
      <c r="A855" s="39" t="s">
        <v>959</v>
      </c>
      <c r="B855" s="1" t="s">
        <v>55</v>
      </c>
      <c r="C855" s="17" t="s">
        <v>181</v>
      </c>
      <c r="D855" s="5" t="s">
        <v>127</v>
      </c>
      <c r="E855" s="27">
        <f>3.624-0.926-0.92-0.874</f>
        <v>0.90400000000000003</v>
      </c>
    </row>
    <row r="856" spans="1:5" ht="34">
      <c r="A856" s="39" t="s">
        <v>959</v>
      </c>
      <c r="B856" s="1" t="s">
        <v>55</v>
      </c>
      <c r="C856" s="17" t="s">
        <v>155</v>
      </c>
      <c r="D856" s="5" t="s">
        <v>127</v>
      </c>
      <c r="E856" s="27">
        <f>0.978</f>
        <v>0.97799999999999998</v>
      </c>
    </row>
    <row r="857" spans="1:5" ht="34">
      <c r="A857" s="39" t="s">
        <v>959</v>
      </c>
      <c r="B857" s="12" t="s">
        <v>55</v>
      </c>
      <c r="C857" s="17" t="s">
        <v>155</v>
      </c>
      <c r="D857" s="12" t="s">
        <v>222</v>
      </c>
      <c r="E857" s="27">
        <f>1.79-0.896-0.31</f>
        <v>0.58400000000000007</v>
      </c>
    </row>
    <row r="858" spans="1:5" ht="34">
      <c r="A858" s="39" t="s">
        <v>959</v>
      </c>
      <c r="B858" s="12" t="s">
        <v>55</v>
      </c>
      <c r="C858" s="17" t="s">
        <v>202</v>
      </c>
      <c r="D858" s="12" t="s">
        <v>725</v>
      </c>
      <c r="E858" s="27">
        <f>1.8-1.454-(0.076)</f>
        <v>0.27000000000000007</v>
      </c>
    </row>
    <row r="859" spans="1:5" ht="34">
      <c r="A859" s="39" t="s">
        <v>959</v>
      </c>
      <c r="B859" s="12" t="s">
        <v>55</v>
      </c>
      <c r="C859" s="17" t="s">
        <v>155</v>
      </c>
      <c r="D859" s="12" t="s">
        <v>301</v>
      </c>
      <c r="E859" s="27">
        <f>0.268</f>
        <v>0.26800000000000002</v>
      </c>
    </row>
    <row r="860" spans="1:5" ht="34">
      <c r="A860" s="39" t="s">
        <v>959</v>
      </c>
      <c r="B860" s="1" t="s">
        <v>55</v>
      </c>
      <c r="C860" s="17" t="s">
        <v>155</v>
      </c>
      <c r="D860" s="5" t="s">
        <v>183</v>
      </c>
      <c r="E860" s="27">
        <f>1.414-0.04-0.078-0.414-0.048-0.476</f>
        <v>0.35799999999999987</v>
      </c>
    </row>
    <row r="861" spans="1:5" ht="34">
      <c r="A861" s="39" t="s">
        <v>959</v>
      </c>
      <c r="B861" s="1" t="s">
        <v>55</v>
      </c>
      <c r="C861" s="17" t="s">
        <v>197</v>
      </c>
      <c r="D861" s="5" t="s">
        <v>183</v>
      </c>
      <c r="E861" s="27">
        <f>2.47-0.92-0.904-0.23</f>
        <v>0.41600000000000026</v>
      </c>
    </row>
    <row r="862" spans="1:5" ht="34">
      <c r="A862" s="39" t="s">
        <v>959</v>
      </c>
      <c r="B862" s="1" t="s">
        <v>55</v>
      </c>
      <c r="C862" s="17" t="s">
        <v>197</v>
      </c>
      <c r="D862" s="5" t="s">
        <v>183</v>
      </c>
      <c r="E862" s="27">
        <f>3.494</f>
        <v>3.4940000000000002</v>
      </c>
    </row>
    <row r="863" spans="1:5" ht="34">
      <c r="A863" s="39" t="s">
        <v>959</v>
      </c>
      <c r="B863" s="12" t="s">
        <v>55</v>
      </c>
      <c r="C863" s="17" t="s">
        <v>155</v>
      </c>
      <c r="D863" s="12" t="s">
        <v>184</v>
      </c>
      <c r="E863" s="27">
        <f>2.68-0.17-0.042-0.392-0.9-0.106</f>
        <v>1.0700000000000005</v>
      </c>
    </row>
    <row r="864" spans="1:5" ht="34">
      <c r="A864" s="39" t="s">
        <v>959</v>
      </c>
      <c r="B864" s="1" t="s">
        <v>55</v>
      </c>
      <c r="C864" s="17" t="s">
        <v>197</v>
      </c>
      <c r="D864" s="5" t="s">
        <v>128</v>
      </c>
      <c r="E864" s="27">
        <f>6.634-0.406</f>
        <v>6.2280000000000006</v>
      </c>
    </row>
    <row r="865" spans="1:5" ht="34">
      <c r="A865" s="39" t="s">
        <v>959</v>
      </c>
      <c r="B865" s="1" t="s">
        <v>55</v>
      </c>
      <c r="C865" s="17" t="s">
        <v>155</v>
      </c>
      <c r="D865" s="5" t="s">
        <v>128</v>
      </c>
      <c r="E865" s="27">
        <f>5.708</f>
        <v>5.7080000000000002</v>
      </c>
    </row>
    <row r="866" spans="1:5" ht="34">
      <c r="A866" s="39" t="s">
        <v>959</v>
      </c>
      <c r="B866" s="1" t="s">
        <v>55</v>
      </c>
      <c r="C866" s="17" t="s">
        <v>155</v>
      </c>
      <c r="D866" s="5" t="s">
        <v>177</v>
      </c>
      <c r="E866" s="27">
        <f>1.794-1.056-0.084-0.412</f>
        <v>0.24200000000000005</v>
      </c>
    </row>
    <row r="867" spans="1:5" ht="34">
      <c r="A867" s="39" t="s">
        <v>959</v>
      </c>
      <c r="B867" s="1" t="s">
        <v>55</v>
      </c>
      <c r="C867" s="17" t="s">
        <v>197</v>
      </c>
      <c r="D867" s="5" t="s">
        <v>177</v>
      </c>
      <c r="E867" s="27">
        <f>3.484</f>
        <v>3.484</v>
      </c>
    </row>
    <row r="868" spans="1:5" ht="34">
      <c r="A868" s="39" t="s">
        <v>959</v>
      </c>
      <c r="B868" s="1" t="s">
        <v>55</v>
      </c>
      <c r="C868" s="17" t="s">
        <v>155</v>
      </c>
      <c r="D868" s="5" t="s">
        <v>177</v>
      </c>
      <c r="E868" s="27">
        <f>5.706</f>
        <v>5.7060000000000004</v>
      </c>
    </row>
    <row r="869" spans="1:5" ht="34">
      <c r="A869" s="39" t="s">
        <v>959</v>
      </c>
      <c r="B869" s="1" t="s">
        <v>55</v>
      </c>
      <c r="C869" s="17" t="s">
        <v>155</v>
      </c>
      <c r="D869" s="5" t="s">
        <v>137</v>
      </c>
      <c r="E869" s="27">
        <f>2.46-0.184</f>
        <v>2.2759999999999998</v>
      </c>
    </row>
    <row r="870" spans="1:5" ht="34">
      <c r="A870" s="39" t="s">
        <v>959</v>
      </c>
      <c r="B870" s="12" t="s">
        <v>55</v>
      </c>
      <c r="C870" s="17" t="s">
        <v>202</v>
      </c>
      <c r="D870" s="12" t="s">
        <v>466</v>
      </c>
      <c r="E870" s="27">
        <f>1.79-0.826-(0.054)-0.276-(0.002)</f>
        <v>0.63200000000000001</v>
      </c>
    </row>
    <row r="871" spans="1:5" ht="34">
      <c r="A871" s="39" t="s">
        <v>959</v>
      </c>
      <c r="B871" s="1" t="s">
        <v>55</v>
      </c>
      <c r="C871" s="17" t="s">
        <v>113</v>
      </c>
      <c r="D871" s="5" t="s">
        <v>329</v>
      </c>
      <c r="E871" s="27">
        <f>1.158-0.67-0.32+(0.002)</f>
        <v>0.16999999999999987</v>
      </c>
    </row>
    <row r="872" spans="1:5" ht="34">
      <c r="A872" s="39" t="s">
        <v>959</v>
      </c>
      <c r="B872" s="1" t="s">
        <v>55</v>
      </c>
      <c r="C872" s="17" t="s">
        <v>113</v>
      </c>
      <c r="D872" s="5" t="s">
        <v>379</v>
      </c>
      <c r="E872" s="27">
        <f>3.46-2.34-0.688</f>
        <v>0.43200000000000016</v>
      </c>
    </row>
    <row r="873" spans="1:5" ht="34">
      <c r="A873" s="39" t="s">
        <v>959</v>
      </c>
      <c r="B873" s="1" t="s">
        <v>55</v>
      </c>
      <c r="C873" s="17" t="s">
        <v>155</v>
      </c>
      <c r="D873" s="5" t="s">
        <v>129</v>
      </c>
      <c r="E873" s="27">
        <f>5.054-2.499-0.498-0.496</f>
        <v>1.5610000000000004</v>
      </c>
    </row>
    <row r="874" spans="1:5" ht="34">
      <c r="A874" s="39" t="s">
        <v>959</v>
      </c>
      <c r="B874" s="1" t="s">
        <v>55</v>
      </c>
      <c r="C874" s="17" t="s">
        <v>155</v>
      </c>
      <c r="D874" s="5" t="s">
        <v>304</v>
      </c>
      <c r="E874" s="29">
        <f>2.586-0.086-0.778</f>
        <v>1.722</v>
      </c>
    </row>
    <row r="875" spans="1:5" ht="34">
      <c r="A875" s="39" t="s">
        <v>959</v>
      </c>
      <c r="B875" s="1" t="s">
        <v>55</v>
      </c>
      <c r="C875" s="17" t="s">
        <v>197</v>
      </c>
      <c r="D875" s="5" t="s">
        <v>304</v>
      </c>
      <c r="E875" s="29">
        <f>2.904-0.358</f>
        <v>2.5459999999999998</v>
      </c>
    </row>
    <row r="876" spans="1:5" ht="34">
      <c r="A876" s="39" t="s">
        <v>960</v>
      </c>
      <c r="B876" s="5" t="s">
        <v>323</v>
      </c>
      <c r="C876" s="16" t="s">
        <v>337</v>
      </c>
      <c r="D876" s="10" t="s">
        <v>438</v>
      </c>
      <c r="E876" s="27">
        <f>0.615-0.016-0.018</f>
        <v>0.58099999999999996</v>
      </c>
    </row>
    <row r="877" spans="1:5" ht="34">
      <c r="A877" s="39" t="s">
        <v>960</v>
      </c>
      <c r="B877" s="5" t="s">
        <v>323</v>
      </c>
      <c r="C877" s="16" t="s">
        <v>337</v>
      </c>
      <c r="D877" s="10" t="s">
        <v>324</v>
      </c>
      <c r="E877" s="27">
        <f>0.412-0.206-0.069-0.024-0.024</f>
        <v>8.8999999999999996E-2</v>
      </c>
    </row>
    <row r="878" spans="1:5" ht="34">
      <c r="A878" s="39" t="s">
        <v>960</v>
      </c>
      <c r="B878" s="5" t="s">
        <v>323</v>
      </c>
      <c r="C878" s="16" t="s">
        <v>337</v>
      </c>
      <c r="D878" s="10" t="s">
        <v>444</v>
      </c>
      <c r="E878" s="27">
        <f>0.597-0.023-0.11-0.104</f>
        <v>0.36</v>
      </c>
    </row>
    <row r="879" spans="1:5" ht="34">
      <c r="A879" s="39" t="s">
        <v>960</v>
      </c>
      <c r="B879" s="5" t="s">
        <v>323</v>
      </c>
      <c r="C879" s="16" t="s">
        <v>337</v>
      </c>
      <c r="D879" s="10" t="s">
        <v>445</v>
      </c>
      <c r="E879" s="27">
        <f>0.577-0.108</f>
        <v>0.46899999999999997</v>
      </c>
    </row>
    <row r="880" spans="1:5" ht="34">
      <c r="A880" s="39" t="s">
        <v>960</v>
      </c>
      <c r="B880" s="5" t="s">
        <v>323</v>
      </c>
      <c r="C880" s="16" t="s">
        <v>337</v>
      </c>
      <c r="D880" s="10" t="s">
        <v>443</v>
      </c>
      <c r="E880" s="27">
        <f>0.611-0.072</f>
        <v>0.53900000000000003</v>
      </c>
    </row>
    <row r="881" spans="1:5" ht="34">
      <c r="A881" s="39" t="s">
        <v>961</v>
      </c>
      <c r="B881" s="5" t="s">
        <v>323</v>
      </c>
      <c r="C881" s="16" t="s">
        <v>337</v>
      </c>
      <c r="D881" s="10" t="s">
        <v>493</v>
      </c>
      <c r="E881" s="27">
        <f>0.56-0.058-0.048-0.11-0.11</f>
        <v>0.23400000000000004</v>
      </c>
    </row>
    <row r="882" spans="1:5" ht="17">
      <c r="A882" s="39" t="s">
        <v>962</v>
      </c>
      <c r="B882" s="16" t="s">
        <v>67</v>
      </c>
      <c r="C882" s="16" t="s">
        <v>562</v>
      </c>
      <c r="D882" s="16" t="s">
        <v>517</v>
      </c>
      <c r="E882" s="25">
        <f>4.12-0.02-0.01-0.095-0.01-0.01-0.01-0.03-0.096-0.02-0.01-0.02-0.01-0.01-0.097-0.01-0.01-0.01-0.01-0.01-0.01-0.01-0.01-2</f>
        <v>1.5920000000000036</v>
      </c>
    </row>
    <row r="883" spans="1:5" ht="17">
      <c r="A883" s="39" t="s">
        <v>962</v>
      </c>
      <c r="B883" s="16" t="s">
        <v>67</v>
      </c>
      <c r="C883" s="16" t="s">
        <v>366</v>
      </c>
      <c r="D883" s="16" t="s">
        <v>503</v>
      </c>
      <c r="E883" s="25">
        <f>1.05-0.069-0.018-0.12-0.054-0.038-0.019-0.019-0.019-0.019-0.019-0.106-0.034-0.019-0.019-0.019-0.312-0.019-0.019-0.022-0.019</f>
        <v>6.7999999999999852E-2</v>
      </c>
    </row>
    <row r="884" spans="1:5" ht="17">
      <c r="A884" s="39" t="s">
        <v>962</v>
      </c>
      <c r="B884" s="16" t="s">
        <v>67</v>
      </c>
      <c r="C884" s="16" t="s">
        <v>366</v>
      </c>
      <c r="D884" s="16" t="s">
        <v>881</v>
      </c>
      <c r="E884" s="25">
        <f>1.98</f>
        <v>1.98</v>
      </c>
    </row>
    <row r="885" spans="1:5" ht="17">
      <c r="A885" s="39" t="s">
        <v>962</v>
      </c>
      <c r="B885" s="16" t="s">
        <v>67</v>
      </c>
      <c r="C885" s="16" t="s">
        <v>366</v>
      </c>
      <c r="D885" s="16" t="s">
        <v>504</v>
      </c>
      <c r="E885" s="25">
        <f>1.538-0.03-0.03-0.03-0.03-0.15-0.03-0.03-0.03-0.03</f>
        <v>1.1479999999999999</v>
      </c>
    </row>
    <row r="886" spans="1:5" ht="17">
      <c r="A886" s="39" t="s">
        <v>962</v>
      </c>
      <c r="B886" s="16" t="s">
        <v>67</v>
      </c>
      <c r="C886" s="16" t="s">
        <v>366</v>
      </c>
      <c r="D886" s="16" t="s">
        <v>882</v>
      </c>
      <c r="E886" s="25">
        <f>3.033</f>
        <v>3.0329999999999999</v>
      </c>
    </row>
    <row r="887" spans="1:5" ht="17">
      <c r="A887" s="39" t="s">
        <v>962</v>
      </c>
      <c r="B887" s="16" t="s">
        <v>67</v>
      </c>
      <c r="C887" s="16" t="s">
        <v>366</v>
      </c>
      <c r="D887" s="16" t="s">
        <v>883</v>
      </c>
      <c r="E887" s="25">
        <f>1.438-0.04-0.31-0.04-0.04-0.04-0.118-0.386-0.04</f>
        <v>0.42399999999999977</v>
      </c>
    </row>
    <row r="888" spans="1:5" ht="17">
      <c r="A888" s="39" t="s">
        <v>962</v>
      </c>
      <c r="B888" s="16" t="s">
        <v>67</v>
      </c>
      <c r="C888" s="16" t="s">
        <v>366</v>
      </c>
      <c r="D888" s="16" t="s">
        <v>397</v>
      </c>
      <c r="E888" s="25">
        <f>2.02-0.107-0.04-0.072-0.214-0.04-0.04-0.04-0.142-0.32-0.072-0.072-0.04-0.04-0.178-0.07-0.107-0.04-0.075-0.04-0.04-0.04-0.143-0.036</f>
        <v>1.1999999999999962E-2</v>
      </c>
    </row>
    <row r="889" spans="1:5" ht="17">
      <c r="A889" s="39" t="s">
        <v>962</v>
      </c>
      <c r="B889" s="16" t="s">
        <v>67</v>
      </c>
      <c r="C889" s="16" t="s">
        <v>366</v>
      </c>
      <c r="D889" s="16" t="s">
        <v>884</v>
      </c>
      <c r="E889" s="25">
        <f>1.99</f>
        <v>1.99</v>
      </c>
    </row>
    <row r="890" spans="1:5" ht="17">
      <c r="A890" s="39" t="s">
        <v>962</v>
      </c>
      <c r="B890" s="11" t="s">
        <v>67</v>
      </c>
      <c r="C890" s="11" t="s">
        <v>366</v>
      </c>
      <c r="D890" s="11" t="s">
        <v>552</v>
      </c>
      <c r="E890" s="25">
        <f>1.919-0.058-0.114-0.522-0.059</f>
        <v>1.1659999999999999</v>
      </c>
    </row>
    <row r="891" spans="1:5" ht="17">
      <c r="A891" s="39" t="s">
        <v>962</v>
      </c>
      <c r="B891" s="11" t="s">
        <v>67</v>
      </c>
      <c r="C891" s="11" t="s">
        <v>366</v>
      </c>
      <c r="D891" s="11" t="s">
        <v>355</v>
      </c>
      <c r="E891" s="25">
        <f>3.86-0.056-0.114-0.054-0.22-0.055-0.059-0.055-0.056-0.056-0.056-0.06-0.566-0.056-0.057-0.057-0.056-0.166-0.056-0.056-0.052-0.055-0.057-0.055-0.057-0.057-0.058-0.056-0.055-0.056</f>
        <v>1.3909999999999996</v>
      </c>
    </row>
    <row r="892" spans="1:5" ht="17">
      <c r="A892" s="39" t="s">
        <v>962</v>
      </c>
      <c r="B892" s="16" t="s">
        <v>67</v>
      </c>
      <c r="C892" s="16" t="s">
        <v>572</v>
      </c>
      <c r="D892" s="16" t="s">
        <v>571</v>
      </c>
      <c r="E892" s="25">
        <f>2.972-0.078-0.156-0.157-0.155-0.079-0.078-0.078-0.547-0.078-0.311-0.079-0.469-0.078-0.158-0.076-0.079</f>
        <v>0.31600000000000017</v>
      </c>
    </row>
    <row r="893" spans="1:5" ht="17">
      <c r="A893" s="39" t="s">
        <v>962</v>
      </c>
      <c r="B893" s="16" t="s">
        <v>67</v>
      </c>
      <c r="C893" s="16" t="s">
        <v>572</v>
      </c>
      <c r="D893" s="16" t="s">
        <v>885</v>
      </c>
      <c r="E893" s="25">
        <f>3.108</f>
        <v>3.1080000000000001</v>
      </c>
    </row>
    <row r="894" spans="1:5" ht="17">
      <c r="A894" s="39" t="s">
        <v>962</v>
      </c>
      <c r="B894" s="16" t="s">
        <v>67</v>
      </c>
      <c r="C894" s="16" t="s">
        <v>366</v>
      </c>
      <c r="D894" s="16" t="s">
        <v>886</v>
      </c>
      <c r="E894" s="25">
        <f>2.13</f>
        <v>2.13</v>
      </c>
    </row>
    <row r="895" spans="1:5" ht="17">
      <c r="A895" s="39" t="s">
        <v>962</v>
      </c>
      <c r="B895" s="16" t="s">
        <v>67</v>
      </c>
      <c r="C895" s="16" t="s">
        <v>572</v>
      </c>
      <c r="D895" s="16" t="s">
        <v>573</v>
      </c>
      <c r="E895" s="25">
        <f>3.054-0.099-0.297-0.097-0.099-0.1-0.099-0.391-0.196-0.1-0.097-0.096-0.098-0.196-0.096</f>
        <v>0.99299999999999888</v>
      </c>
    </row>
    <row r="896" spans="1:5" ht="17">
      <c r="A896" s="39" t="s">
        <v>962</v>
      </c>
      <c r="B896" s="16" t="s">
        <v>67</v>
      </c>
      <c r="C896" s="16" t="s">
        <v>572</v>
      </c>
      <c r="D896" s="16" t="s">
        <v>692</v>
      </c>
      <c r="E896" s="25">
        <f>5.08-0.14-0.14-0.281-0.282-0.14-0.432</f>
        <v>3.6650000000000014</v>
      </c>
    </row>
    <row r="897" spans="1:5" ht="17">
      <c r="A897" s="39" t="s">
        <v>962</v>
      </c>
      <c r="B897" s="16" t="s">
        <v>67</v>
      </c>
      <c r="C897" s="16" t="s">
        <v>575</v>
      </c>
      <c r="D897" s="16" t="s">
        <v>574</v>
      </c>
      <c r="E897" s="25">
        <f>4.71</f>
        <v>4.71</v>
      </c>
    </row>
    <row r="898" spans="1:5" ht="17">
      <c r="A898" s="39" t="s">
        <v>962</v>
      </c>
      <c r="B898" s="16" t="s">
        <v>67</v>
      </c>
      <c r="C898" s="16" t="s">
        <v>337</v>
      </c>
      <c r="D898" s="16" t="s">
        <v>381</v>
      </c>
      <c r="E898" s="25">
        <f>0.39-0.196-0.068</f>
        <v>0.126</v>
      </c>
    </row>
    <row r="899" spans="1:5" ht="17">
      <c r="A899" s="39" t="s">
        <v>962</v>
      </c>
      <c r="B899" s="16" t="s">
        <v>67</v>
      </c>
      <c r="C899" s="16" t="s">
        <v>572</v>
      </c>
      <c r="D899" s="16" t="s">
        <v>576</v>
      </c>
      <c r="E899" s="25">
        <f>3.115-0.195-0.39</f>
        <v>2.5300000000000002</v>
      </c>
    </row>
    <row r="900" spans="1:5" ht="17">
      <c r="A900" s="39" t="s">
        <v>962</v>
      </c>
      <c r="B900" s="16" t="s">
        <v>67</v>
      </c>
      <c r="C900" s="16" t="s">
        <v>337</v>
      </c>
      <c r="D900" s="16" t="s">
        <v>804</v>
      </c>
      <c r="E900" s="25">
        <f>3.132-0.384-0.384-0.382-0.386-0.384-0.386-0.382-0.026-(0.056)-0.098-(0.002)-0.025-0.06</f>
        <v>0.17700000000000013</v>
      </c>
    </row>
    <row r="901" spans="1:5" ht="17">
      <c r="A901" s="39" t="s">
        <v>962</v>
      </c>
      <c r="B901" s="16" t="s">
        <v>67</v>
      </c>
      <c r="C901" s="16" t="s">
        <v>337</v>
      </c>
      <c r="D901" s="16" t="s">
        <v>327</v>
      </c>
      <c r="E901" s="25">
        <f>3.132-0.384-0.384-0.382-0.386-0.384-0.386-0.382</f>
        <v>0.44400000000000017</v>
      </c>
    </row>
    <row r="902" spans="1:5" ht="17">
      <c r="A902" s="39" t="s">
        <v>962</v>
      </c>
      <c r="B902" s="1" t="s">
        <v>67</v>
      </c>
      <c r="C902" s="15" t="s">
        <v>308</v>
      </c>
      <c r="D902" s="5" t="s">
        <v>145</v>
      </c>
      <c r="E902" s="27">
        <f>2.025-0.042-0.07-0.014-0.368-0.052-0.098-0.1-0.024-0.064-0.17-0.096+(0.17)-0.17-0.03-0.466</f>
        <v>0.43099999999999944</v>
      </c>
    </row>
    <row r="903" spans="1:5" ht="17">
      <c r="A903" s="39" t="s">
        <v>962</v>
      </c>
      <c r="B903" s="1" t="s">
        <v>67</v>
      </c>
      <c r="C903" s="15" t="s">
        <v>308</v>
      </c>
      <c r="D903" s="5" t="s">
        <v>638</v>
      </c>
      <c r="E903" s="27">
        <f>0.096-0.048</f>
        <v>4.8000000000000001E-2</v>
      </c>
    </row>
    <row r="904" spans="1:5" ht="17">
      <c r="A904" s="39" t="s">
        <v>962</v>
      </c>
      <c r="B904" s="1" t="s">
        <v>67</v>
      </c>
      <c r="C904" s="15"/>
      <c r="D904" s="5" t="s">
        <v>887</v>
      </c>
      <c r="E904" s="27">
        <f>2.35</f>
        <v>2.35</v>
      </c>
    </row>
    <row r="905" spans="1:5" ht="17">
      <c r="A905" s="39" t="s">
        <v>962</v>
      </c>
      <c r="B905" s="1" t="s">
        <v>67</v>
      </c>
      <c r="C905" s="15" t="s">
        <v>308</v>
      </c>
      <c r="D905" s="5" t="s">
        <v>249</v>
      </c>
      <c r="E905" s="27">
        <f>1.496</f>
        <v>1.496</v>
      </c>
    </row>
    <row r="906" spans="1:5" ht="17">
      <c r="A906" s="39" t="s">
        <v>962</v>
      </c>
      <c r="B906" s="1" t="s">
        <v>67</v>
      </c>
      <c r="C906" s="15" t="s">
        <v>308</v>
      </c>
      <c r="D906" s="5" t="s">
        <v>153</v>
      </c>
      <c r="E906" s="27">
        <f>2.68-0.198-0.19</f>
        <v>2.2920000000000003</v>
      </c>
    </row>
    <row r="907" spans="1:5" ht="17">
      <c r="A907" s="39" t="s">
        <v>962</v>
      </c>
      <c r="B907" s="5" t="s">
        <v>67</v>
      </c>
      <c r="C907" s="16" t="s">
        <v>308</v>
      </c>
      <c r="D907" s="10" t="s">
        <v>126</v>
      </c>
      <c r="E907" s="27">
        <f>2.9-0.014-0.158-0.156-0.104-0.09-0.282-0.154-0.31-0.016-0.026-0.09-0.312</f>
        <v>1.1879999999999999</v>
      </c>
    </row>
    <row r="908" spans="1:5" ht="17">
      <c r="A908" s="39" t="s">
        <v>962</v>
      </c>
      <c r="B908" s="5" t="s">
        <v>67</v>
      </c>
      <c r="C908" s="16" t="s">
        <v>502</v>
      </c>
      <c r="D908" s="10" t="s">
        <v>126</v>
      </c>
      <c r="E908" s="27">
        <f>4.72-0.104-0.022</f>
        <v>4.5939999999999994</v>
      </c>
    </row>
    <row r="909" spans="1:5" ht="17">
      <c r="A909" s="39" t="s">
        <v>962</v>
      </c>
      <c r="B909" s="5" t="s">
        <v>67</v>
      </c>
      <c r="C909" s="16" t="s">
        <v>308</v>
      </c>
      <c r="D909" s="10" t="s">
        <v>154</v>
      </c>
      <c r="E909" s="27">
        <f>4.442-0.266-2.107-0.218-0.03-0.024-0.22-0.024-0.37-0.7-0.092-0.062-0.012-0.038</f>
        <v>0.27899999999999991</v>
      </c>
    </row>
    <row r="910" spans="1:5" ht="17">
      <c r="A910" s="39" t="s">
        <v>962</v>
      </c>
      <c r="B910" s="5" t="s">
        <v>67</v>
      </c>
      <c r="C910" s="16" t="s">
        <v>308</v>
      </c>
      <c r="D910" s="10" t="s">
        <v>154</v>
      </c>
      <c r="E910" s="27">
        <f>2.932</f>
        <v>2.9319999999999999</v>
      </c>
    </row>
    <row r="911" spans="1:5" ht="17">
      <c r="A911" s="39" t="s">
        <v>962</v>
      </c>
      <c r="B911" s="5" t="s">
        <v>67</v>
      </c>
      <c r="C911" s="16" t="s">
        <v>308</v>
      </c>
      <c r="D911" s="10" t="s">
        <v>134</v>
      </c>
      <c r="E911" s="27">
        <f>0.572-0.072-0.318-0.114-(0.002)</f>
        <v>6.5999999999999934E-2</v>
      </c>
    </row>
    <row r="912" spans="1:5" ht="17">
      <c r="A912" s="39" t="s">
        <v>962</v>
      </c>
      <c r="B912" s="5" t="s">
        <v>67</v>
      </c>
      <c r="C912" s="16" t="s">
        <v>308</v>
      </c>
      <c r="D912" s="10" t="s">
        <v>134</v>
      </c>
      <c r="E912" s="27">
        <f>5.096-1.29-0.134-0.16-0.05-0.148-0.096-0.038-0.104-0.218-0.062-0.022-0.154-0.005-0.424-0.216</f>
        <v>1.9750000000000008</v>
      </c>
    </row>
    <row r="913" spans="1:5" ht="17">
      <c r="A913" s="39" t="s">
        <v>962</v>
      </c>
      <c r="B913" s="5" t="s">
        <v>67</v>
      </c>
      <c r="C913" s="16" t="s">
        <v>308</v>
      </c>
      <c r="D913" s="10" t="s">
        <v>134</v>
      </c>
      <c r="E913" s="27">
        <f>5.491</f>
        <v>5.4909999999999997</v>
      </c>
    </row>
    <row r="914" spans="1:5" ht="17">
      <c r="A914" s="39" t="s">
        <v>962</v>
      </c>
      <c r="B914" s="5" t="s">
        <v>67</v>
      </c>
      <c r="C914" s="16" t="s">
        <v>308</v>
      </c>
      <c r="D914" s="10" t="s">
        <v>172</v>
      </c>
      <c r="E914" s="27">
        <f>4.942-1.27-0.238-0.076-0.042-0.078-0.322-0.078-0.078-0.136-0.078-0.058-0.176-0.08-0.286-0.288-1</f>
        <v>0.65800000000000058</v>
      </c>
    </row>
    <row r="915" spans="1:5" ht="17">
      <c r="A915" s="39" t="s">
        <v>962</v>
      </c>
      <c r="B915" s="5" t="s">
        <v>67</v>
      </c>
      <c r="C915" s="16" t="s">
        <v>308</v>
      </c>
      <c r="D915" s="10" t="s">
        <v>172</v>
      </c>
      <c r="E915" s="27">
        <f>4.657</f>
        <v>4.657</v>
      </c>
    </row>
    <row r="916" spans="1:5" ht="17">
      <c r="A916" s="39" t="s">
        <v>962</v>
      </c>
      <c r="B916" s="5" t="s">
        <v>67</v>
      </c>
      <c r="C916" s="16" t="s">
        <v>308</v>
      </c>
      <c r="D916" s="10" t="s">
        <v>325</v>
      </c>
      <c r="E916" s="27">
        <f>2.264-0.308-0.428-0.02-0.148-0.604</f>
        <v>0.75599999999999989</v>
      </c>
    </row>
    <row r="917" spans="1:5" ht="17">
      <c r="A917" s="39" t="s">
        <v>962</v>
      </c>
      <c r="B917" s="5" t="s">
        <v>67</v>
      </c>
      <c r="C917" s="16" t="s">
        <v>308</v>
      </c>
      <c r="D917" s="10" t="s">
        <v>127</v>
      </c>
      <c r="E917" s="27">
        <f>2.325-0.07-0.496-0.038</f>
        <v>1.7210000000000003</v>
      </c>
    </row>
    <row r="918" spans="1:5" ht="30">
      <c r="A918" s="39" t="s">
        <v>962</v>
      </c>
      <c r="B918" s="1" t="s">
        <v>67</v>
      </c>
      <c r="C918" s="15" t="s">
        <v>214</v>
      </c>
      <c r="D918" s="5" t="s">
        <v>175</v>
      </c>
      <c r="E918" s="29">
        <f>5.44-2.212-1.068-1.08</f>
        <v>1.08</v>
      </c>
    </row>
    <row r="919" spans="1:5" ht="17">
      <c r="A919" s="39" t="s">
        <v>962</v>
      </c>
      <c r="B919" s="1" t="s">
        <v>67</v>
      </c>
      <c r="C919" s="16" t="s">
        <v>308</v>
      </c>
      <c r="D919" s="5" t="s">
        <v>183</v>
      </c>
      <c r="E919" s="27">
        <f>4.678-0.102-0.06-0.152-1.55-0.062-0.146-0.124-0.372-0.107</f>
        <v>2.0030000000000001</v>
      </c>
    </row>
    <row r="920" spans="1:5" ht="17">
      <c r="A920" s="39" t="s">
        <v>962</v>
      </c>
      <c r="B920" s="1" t="s">
        <v>67</v>
      </c>
      <c r="C920" s="16" t="s">
        <v>308</v>
      </c>
      <c r="D920" s="5" t="s">
        <v>183</v>
      </c>
      <c r="E920" s="27">
        <f>4.664</f>
        <v>4.6639999999999997</v>
      </c>
    </row>
    <row r="921" spans="1:5" ht="17">
      <c r="A921" s="39" t="s">
        <v>962</v>
      </c>
      <c r="B921" s="1" t="s">
        <v>67</v>
      </c>
      <c r="C921" s="16" t="s">
        <v>308</v>
      </c>
      <c r="D921" s="5" t="s">
        <v>128</v>
      </c>
      <c r="E921" s="27">
        <f>2.964-1.01-0.06-0.102-0.506-0.324</f>
        <v>0.96199999999999974</v>
      </c>
    </row>
    <row r="922" spans="1:5" ht="17">
      <c r="A922" s="39" t="s">
        <v>962</v>
      </c>
      <c r="B922" s="1" t="s">
        <v>67</v>
      </c>
      <c r="C922" s="16" t="s">
        <v>502</v>
      </c>
      <c r="D922" s="5" t="s">
        <v>128</v>
      </c>
      <c r="E922" s="27">
        <f>1.792</f>
        <v>1.792</v>
      </c>
    </row>
    <row r="923" spans="1:5" ht="17">
      <c r="A923" s="39" t="s">
        <v>962</v>
      </c>
      <c r="B923" s="1" t="s">
        <v>67</v>
      </c>
      <c r="C923" s="16" t="s">
        <v>502</v>
      </c>
      <c r="D923" s="5" t="s">
        <v>128</v>
      </c>
      <c r="E923" s="27">
        <f>5.808</f>
        <v>5.8079999999999998</v>
      </c>
    </row>
    <row r="924" spans="1:5" ht="17">
      <c r="A924" s="39" t="s">
        <v>962</v>
      </c>
      <c r="B924" s="1" t="s">
        <v>67</v>
      </c>
      <c r="C924" s="15" t="s">
        <v>366</v>
      </c>
      <c r="D924" s="5" t="s">
        <v>356</v>
      </c>
      <c r="E924" s="27">
        <f>1.98-0.234-0.694-0.308</f>
        <v>0.74399999999999999</v>
      </c>
    </row>
    <row r="925" spans="1:5" ht="17">
      <c r="A925" s="39" t="s">
        <v>962</v>
      </c>
      <c r="B925" s="5" t="s">
        <v>67</v>
      </c>
      <c r="C925" s="16" t="s">
        <v>502</v>
      </c>
      <c r="D925" s="10" t="s">
        <v>177</v>
      </c>
      <c r="E925" s="27">
        <f>5.202-1.664-1.768-0.06</f>
        <v>1.7100000000000002</v>
      </c>
    </row>
    <row r="926" spans="1:5" ht="17">
      <c r="A926" s="39" t="s">
        <v>962</v>
      </c>
      <c r="B926" s="5" t="s">
        <v>67</v>
      </c>
      <c r="C926" s="16" t="s">
        <v>366</v>
      </c>
      <c r="D926" s="10" t="s">
        <v>357</v>
      </c>
      <c r="E926" s="27">
        <f>2.212</f>
        <v>2.2120000000000002</v>
      </c>
    </row>
    <row r="927" spans="1:5" ht="17">
      <c r="A927" s="39" t="s">
        <v>962</v>
      </c>
      <c r="B927" s="5" t="s">
        <v>67</v>
      </c>
      <c r="C927" s="16" t="s">
        <v>308</v>
      </c>
      <c r="D927" s="10" t="s">
        <v>326</v>
      </c>
      <c r="E927" s="27">
        <f>1.263-0.612-0.104-0.124</f>
        <v>0.42299999999999993</v>
      </c>
    </row>
    <row r="928" spans="1:5" ht="17">
      <c r="A928" s="39" t="s">
        <v>963</v>
      </c>
      <c r="B928" s="16" t="s">
        <v>179</v>
      </c>
      <c r="C928" s="16" t="s">
        <v>118</v>
      </c>
      <c r="D928" s="16">
        <v>200</v>
      </c>
      <c r="E928" s="26">
        <f>0.726-0.372-0.071-0.064-0.078</f>
        <v>0.14099999999999996</v>
      </c>
    </row>
    <row r="929" spans="1:5" ht="17">
      <c r="A929" s="39" t="s">
        <v>963</v>
      </c>
      <c r="B929" s="16" t="s">
        <v>206</v>
      </c>
      <c r="C929" s="16" t="s">
        <v>208</v>
      </c>
      <c r="D929" s="16">
        <v>12</v>
      </c>
      <c r="E929" s="26">
        <f>1.23-0.24-0.152-0.022-0.104</f>
        <v>0.71199999999999997</v>
      </c>
    </row>
    <row r="930" spans="1:5" ht="17">
      <c r="A930" s="39" t="s">
        <v>963</v>
      </c>
      <c r="B930" s="16" t="s">
        <v>279</v>
      </c>
      <c r="C930" s="16" t="s">
        <v>352</v>
      </c>
      <c r="D930" s="16">
        <v>90</v>
      </c>
      <c r="E930" s="25">
        <f>1.974-1.416</f>
        <v>0.55800000000000005</v>
      </c>
    </row>
    <row r="931" spans="1:5" ht="17">
      <c r="A931" s="39" t="s">
        <v>963</v>
      </c>
      <c r="B931" s="16" t="s">
        <v>279</v>
      </c>
      <c r="C931" s="16" t="s">
        <v>352</v>
      </c>
      <c r="D931" s="16">
        <v>90</v>
      </c>
      <c r="E931" s="25">
        <f>1.416</f>
        <v>1.4159999999999999</v>
      </c>
    </row>
    <row r="932" spans="1:5" ht="17">
      <c r="A932" s="39" t="s">
        <v>963</v>
      </c>
      <c r="B932" s="16" t="s">
        <v>279</v>
      </c>
      <c r="C932" s="16" t="s">
        <v>352</v>
      </c>
      <c r="D932" s="16">
        <v>100</v>
      </c>
      <c r="E932" s="25">
        <f>1.986</f>
        <v>1.986</v>
      </c>
    </row>
    <row r="933" spans="1:5" ht="17">
      <c r="A933" s="39" t="s">
        <v>963</v>
      </c>
      <c r="B933" s="16" t="s">
        <v>279</v>
      </c>
      <c r="C933" s="16" t="s">
        <v>208</v>
      </c>
      <c r="D933" s="16">
        <v>110</v>
      </c>
      <c r="E933" s="26">
        <f>2.694</f>
        <v>2.694</v>
      </c>
    </row>
    <row r="934" spans="1:5" ht="17">
      <c r="A934" s="39" t="s">
        <v>963</v>
      </c>
      <c r="B934" s="16" t="s">
        <v>279</v>
      </c>
      <c r="C934" s="16" t="s">
        <v>352</v>
      </c>
      <c r="D934" s="16">
        <v>120</v>
      </c>
      <c r="E934" s="25">
        <f>3.128-1.055</f>
        <v>2.0730000000000004</v>
      </c>
    </row>
    <row r="935" spans="1:5" ht="17">
      <c r="A935" s="39" t="s">
        <v>963</v>
      </c>
      <c r="B935" s="16" t="s">
        <v>279</v>
      </c>
      <c r="C935" s="16" t="s">
        <v>352</v>
      </c>
      <c r="D935" s="16">
        <v>120</v>
      </c>
      <c r="E935" s="25">
        <f>1.055</f>
        <v>1.0549999999999999</v>
      </c>
    </row>
    <row r="936" spans="1:5" ht="17">
      <c r="A936" s="39" t="s">
        <v>963</v>
      </c>
      <c r="B936" s="16" t="s">
        <v>279</v>
      </c>
      <c r="C936" s="16" t="s">
        <v>208</v>
      </c>
      <c r="D936" s="16">
        <v>250</v>
      </c>
      <c r="E936" s="25">
        <f>2.338</f>
        <v>2.3380000000000001</v>
      </c>
    </row>
    <row r="937" spans="1:5" ht="17">
      <c r="A937" s="39" t="s">
        <v>963</v>
      </c>
      <c r="B937" s="16" t="s">
        <v>207</v>
      </c>
      <c r="C937" s="16" t="s">
        <v>352</v>
      </c>
      <c r="D937" s="16">
        <v>250</v>
      </c>
      <c r="E937" s="25">
        <f>12.278-2.46-3.688-2</f>
        <v>4.1300000000000008</v>
      </c>
    </row>
    <row r="938" spans="1:5" ht="17">
      <c r="A938" s="39" t="s">
        <v>963</v>
      </c>
      <c r="B938" s="16" t="s">
        <v>206</v>
      </c>
      <c r="C938" s="16" t="s">
        <v>606</v>
      </c>
      <c r="D938" s="16" t="s">
        <v>133</v>
      </c>
      <c r="E938" s="25">
        <f>10.172-2.65-0.622-0.416-0.638-0.208-3</f>
        <v>2.6379999999999999</v>
      </c>
    </row>
    <row r="939" spans="1:5" ht="17">
      <c r="A939" s="39" t="s">
        <v>963</v>
      </c>
      <c r="B939" s="16" t="s">
        <v>206</v>
      </c>
      <c r="C939" s="16" t="s">
        <v>606</v>
      </c>
      <c r="D939" s="16" t="s">
        <v>145</v>
      </c>
      <c r="E939" s="25">
        <f>4.362</f>
        <v>4.3620000000000001</v>
      </c>
    </row>
    <row r="940" spans="1:5" ht="17">
      <c r="A940" s="39" t="s">
        <v>963</v>
      </c>
      <c r="B940" s="16" t="s">
        <v>4</v>
      </c>
      <c r="C940" s="16" t="s">
        <v>236</v>
      </c>
      <c r="D940" s="16">
        <v>14</v>
      </c>
      <c r="E940" s="26">
        <v>2.5999999999999999E-2</v>
      </c>
    </row>
    <row r="941" spans="1:5" ht="17">
      <c r="A941" s="39" t="s">
        <v>963</v>
      </c>
      <c r="B941" s="16" t="s">
        <v>4</v>
      </c>
      <c r="C941" s="16" t="s">
        <v>161</v>
      </c>
      <c r="D941" s="16">
        <v>170</v>
      </c>
      <c r="E941" s="26">
        <f>0.609-0.074-0.178</f>
        <v>0.35700000000000004</v>
      </c>
    </row>
    <row r="942" spans="1:5" ht="17">
      <c r="A942" s="39" t="s">
        <v>963</v>
      </c>
      <c r="B942" s="16" t="s">
        <v>6</v>
      </c>
      <c r="C942" s="16" t="s">
        <v>162</v>
      </c>
      <c r="D942" s="16">
        <v>250</v>
      </c>
      <c r="E942" s="26">
        <f>1.19-0.42-0.392-0.154</f>
        <v>0.224</v>
      </c>
    </row>
    <row r="943" spans="1:5" ht="17">
      <c r="A943" s="39" t="s">
        <v>963</v>
      </c>
      <c r="B943" s="16" t="s">
        <v>109</v>
      </c>
      <c r="C943" s="16" t="s">
        <v>110</v>
      </c>
      <c r="D943" s="16">
        <v>15</v>
      </c>
      <c r="E943" s="26">
        <f>0.496-0.016</f>
        <v>0.48</v>
      </c>
    </row>
    <row r="944" spans="1:5" ht="17">
      <c r="A944" s="39" t="s">
        <v>963</v>
      </c>
      <c r="B944" s="16" t="s">
        <v>217</v>
      </c>
      <c r="C944" s="16" t="s">
        <v>221</v>
      </c>
      <c r="D944" s="16">
        <v>20</v>
      </c>
      <c r="E944" s="26">
        <f>0.385-0.101</f>
        <v>0.28400000000000003</v>
      </c>
    </row>
    <row r="945" spans="1:5" ht="17">
      <c r="A945" s="39" t="s">
        <v>963</v>
      </c>
      <c r="B945" s="6" t="s">
        <v>13</v>
      </c>
      <c r="C945" s="16" t="s">
        <v>104</v>
      </c>
      <c r="D945" s="16">
        <v>12</v>
      </c>
      <c r="E945" s="25">
        <f>0.181</f>
        <v>0.18099999999999999</v>
      </c>
    </row>
    <row r="946" spans="1:5" ht="17">
      <c r="A946" s="39" t="s">
        <v>963</v>
      </c>
      <c r="B946" s="6" t="s">
        <v>13</v>
      </c>
      <c r="C946" s="16" t="s">
        <v>104</v>
      </c>
      <c r="D946" s="16">
        <v>40</v>
      </c>
      <c r="E946" s="25">
        <f>0.518-0.167-0.164-0.015-0.019</f>
        <v>0.153</v>
      </c>
    </row>
    <row r="947" spans="1:5" ht="17">
      <c r="A947" s="39" t="s">
        <v>963</v>
      </c>
      <c r="B947" s="6" t="s">
        <v>13</v>
      </c>
      <c r="C947" s="16" t="s">
        <v>104</v>
      </c>
      <c r="D947" s="16">
        <v>45</v>
      </c>
      <c r="E947" s="25">
        <f>2.038-2</f>
        <v>3.7999999999999812E-2</v>
      </c>
    </row>
    <row r="948" spans="1:5" ht="17">
      <c r="A948" s="39" t="s">
        <v>963</v>
      </c>
      <c r="B948" s="6" t="s">
        <v>13</v>
      </c>
      <c r="C948" s="16" t="s">
        <v>104</v>
      </c>
      <c r="D948" s="16">
        <v>120</v>
      </c>
      <c r="E948" s="25">
        <f>0.642-0.174-0.088</f>
        <v>0.38</v>
      </c>
    </row>
    <row r="949" spans="1:5" ht="17">
      <c r="A949" s="39" t="s">
        <v>963</v>
      </c>
      <c r="B949" s="6" t="s">
        <v>13</v>
      </c>
      <c r="C949" s="16" t="s">
        <v>104</v>
      </c>
      <c r="D949" s="16">
        <v>160</v>
      </c>
      <c r="E949" s="25">
        <f>0.178-0.016-0.016</f>
        <v>0.14599999999999996</v>
      </c>
    </row>
    <row r="950" spans="1:5" ht="17">
      <c r="A950" s="39" t="s">
        <v>963</v>
      </c>
      <c r="B950" s="6" t="s">
        <v>13</v>
      </c>
      <c r="C950" s="16" t="s">
        <v>104</v>
      </c>
      <c r="D950" s="16">
        <v>200</v>
      </c>
      <c r="E950" s="25">
        <f>0.096</f>
        <v>9.6000000000000002E-2</v>
      </c>
    </row>
    <row r="951" spans="1:5" ht="17">
      <c r="A951" s="39" t="s">
        <v>963</v>
      </c>
      <c r="B951" s="6" t="s">
        <v>384</v>
      </c>
      <c r="C951" s="16" t="s">
        <v>221</v>
      </c>
      <c r="D951" s="21">
        <v>90</v>
      </c>
      <c r="E951" s="26">
        <f>0.389-0.196</f>
        <v>0.193</v>
      </c>
    </row>
    <row r="952" spans="1:5" ht="17">
      <c r="A952" s="39" t="s">
        <v>963</v>
      </c>
      <c r="B952" s="16" t="s">
        <v>149</v>
      </c>
      <c r="C952" s="18" t="s">
        <v>136</v>
      </c>
      <c r="D952" s="16">
        <v>120</v>
      </c>
      <c r="E952" s="26">
        <f>2.157-0.3-0.108-0.06-0.937-0.302</f>
        <v>0.44999999999999979</v>
      </c>
    </row>
    <row r="953" spans="1:5" ht="17">
      <c r="A953" s="39" t="s">
        <v>963</v>
      </c>
      <c r="B953" s="16" t="s">
        <v>203</v>
      </c>
      <c r="C953" s="18" t="s">
        <v>136</v>
      </c>
      <c r="D953" s="16">
        <v>140</v>
      </c>
      <c r="E953" s="25">
        <f>2.485-0.002-0.016-0.412-0.594</f>
        <v>1.4610000000000003</v>
      </c>
    </row>
    <row r="954" spans="1:5" ht="17">
      <c r="A954" s="39" t="s">
        <v>963</v>
      </c>
      <c r="B954" s="16" t="s">
        <v>203</v>
      </c>
      <c r="C954" s="18" t="s">
        <v>136</v>
      </c>
      <c r="D954" s="16">
        <v>180</v>
      </c>
      <c r="E954" s="25">
        <f>2.617-0.076-0.048</f>
        <v>2.4929999999999999</v>
      </c>
    </row>
    <row r="955" spans="1:5" ht="17">
      <c r="A955" s="39" t="s">
        <v>963</v>
      </c>
      <c r="B955" s="16" t="s">
        <v>203</v>
      </c>
      <c r="C955" s="18" t="s">
        <v>543</v>
      </c>
      <c r="D955" s="16" t="s">
        <v>178</v>
      </c>
      <c r="E955" s="25">
        <f>3.01-1.252-0.318</f>
        <v>1.4399999999999997</v>
      </c>
    </row>
    <row r="956" spans="1:5" ht="17">
      <c r="A956" s="39" t="s">
        <v>963</v>
      </c>
      <c r="B956" s="5" t="s">
        <v>21</v>
      </c>
      <c r="C956" s="16" t="s">
        <v>104</v>
      </c>
      <c r="D956" s="10">
        <v>15</v>
      </c>
      <c r="E956" s="27">
        <f>0.41-0.008-0.034-0.05-0.015-0.077</f>
        <v>0.22599999999999998</v>
      </c>
    </row>
    <row r="957" spans="1:5" ht="17">
      <c r="A957" s="39" t="s">
        <v>963</v>
      </c>
      <c r="B957" s="5" t="s">
        <v>21</v>
      </c>
      <c r="C957" s="16" t="s">
        <v>104</v>
      </c>
      <c r="D957" s="10">
        <v>16</v>
      </c>
      <c r="E957" s="27">
        <f>0.67-0.019-0.102</f>
        <v>0.54900000000000004</v>
      </c>
    </row>
    <row r="958" spans="1:5" ht="17">
      <c r="A958" s="39" t="s">
        <v>963</v>
      </c>
      <c r="B958" s="5" t="s">
        <v>21</v>
      </c>
      <c r="C958" s="16" t="s">
        <v>104</v>
      </c>
      <c r="D958" s="10">
        <v>20</v>
      </c>
      <c r="E958" s="27">
        <f>1.154-0.1-0.015-0.014-0.022-0.02</f>
        <v>0.98299999999999987</v>
      </c>
    </row>
    <row r="959" spans="1:5" ht="17">
      <c r="A959" s="39" t="s">
        <v>963</v>
      </c>
      <c r="B959" s="5" t="s">
        <v>21</v>
      </c>
      <c r="C959" s="16" t="s">
        <v>104</v>
      </c>
      <c r="D959" s="10">
        <v>25</v>
      </c>
      <c r="E959" s="27">
        <f>1.216-0.195-0.108-0.043-0.3</f>
        <v>0.56999999999999984</v>
      </c>
    </row>
    <row r="960" spans="1:5" ht="17">
      <c r="A960" s="39" t="s">
        <v>963</v>
      </c>
      <c r="B960" s="5" t="s">
        <v>21</v>
      </c>
      <c r="C960" s="16" t="s">
        <v>104</v>
      </c>
      <c r="D960" s="10">
        <v>30</v>
      </c>
      <c r="E960" s="27">
        <f>2.788-0.031-0.03-0.22-0.678-0.032-0.096-0.032-0.126-0.251</f>
        <v>1.2919999999999998</v>
      </c>
    </row>
    <row r="961" spans="1:5" ht="17">
      <c r="A961" s="39" t="s">
        <v>963</v>
      </c>
      <c r="B961" s="5" t="s">
        <v>21</v>
      </c>
      <c r="C961" s="16" t="s">
        <v>104</v>
      </c>
      <c r="D961" s="10">
        <v>30</v>
      </c>
      <c r="E961" s="27">
        <f>1.194</f>
        <v>1.194</v>
      </c>
    </row>
    <row r="962" spans="1:5" ht="17">
      <c r="A962" s="39" t="s">
        <v>963</v>
      </c>
      <c r="B962" s="5" t="s">
        <v>21</v>
      </c>
      <c r="C962" s="16" t="s">
        <v>104</v>
      </c>
      <c r="D962" s="10">
        <v>36</v>
      </c>
      <c r="E962" s="27">
        <f>6.306-0.747-0.164-0.118-0.159-0.083-0.499-0.124-0.192-0.182-0.041-0.041-3.66</f>
        <v>0.29600000000000026</v>
      </c>
    </row>
    <row r="963" spans="1:5" ht="17">
      <c r="A963" s="39" t="s">
        <v>963</v>
      </c>
      <c r="B963" s="5" t="s">
        <v>21</v>
      </c>
      <c r="C963" s="16" t="s">
        <v>104</v>
      </c>
      <c r="D963" s="10">
        <v>45</v>
      </c>
      <c r="E963" s="27">
        <f>1.261-0.197</f>
        <v>1.0639999999999998</v>
      </c>
    </row>
    <row r="964" spans="1:5" ht="17">
      <c r="A964" s="39" t="s">
        <v>963</v>
      </c>
      <c r="B964" s="5" t="s">
        <v>21</v>
      </c>
      <c r="C964" s="16" t="s">
        <v>104</v>
      </c>
      <c r="D964" s="10">
        <v>50</v>
      </c>
      <c r="E964" s="27">
        <f>2.416-0.088-0.16-0.09-0.088-0.18-0.09-0.08-0.085-0.088-0.088-0.225-0.068-0.178-0.088-0.089-0.09</f>
        <v>0.64099999999999957</v>
      </c>
    </row>
    <row r="965" spans="1:5" ht="17">
      <c r="A965" s="39" t="s">
        <v>963</v>
      </c>
      <c r="B965" s="5" t="s">
        <v>21</v>
      </c>
      <c r="C965" s="16" t="s">
        <v>104</v>
      </c>
      <c r="D965" s="10">
        <v>60</v>
      </c>
      <c r="E965" s="27">
        <f>1.424-0.799-0.015-0.5</f>
        <v>0.10999999999999988</v>
      </c>
    </row>
    <row r="966" spans="1:5" ht="17">
      <c r="A966" s="39" t="s">
        <v>963</v>
      </c>
      <c r="B966" s="5" t="s">
        <v>21</v>
      </c>
      <c r="C966" s="16" t="s">
        <v>104</v>
      </c>
      <c r="D966" s="10">
        <v>60</v>
      </c>
      <c r="E966" s="27">
        <f>5.268-0.244-0.25-0.13</f>
        <v>4.6440000000000001</v>
      </c>
    </row>
    <row r="967" spans="1:5" ht="17">
      <c r="A967" s="39" t="s">
        <v>963</v>
      </c>
      <c r="B967" s="5" t="s">
        <v>21</v>
      </c>
      <c r="C967" s="16" t="s">
        <v>163</v>
      </c>
      <c r="D967" s="10">
        <v>80</v>
      </c>
      <c r="E967" s="27">
        <f>3.332-0.225-0.223</f>
        <v>2.8839999999999999</v>
      </c>
    </row>
    <row r="968" spans="1:5" ht="17">
      <c r="A968" s="39" t="s">
        <v>963</v>
      </c>
      <c r="B968" s="5" t="s">
        <v>21</v>
      </c>
      <c r="C968" s="16" t="s">
        <v>167</v>
      </c>
      <c r="D968" s="10">
        <v>90</v>
      </c>
      <c r="E968" s="27">
        <f>1.86-0.266-0.055-0.526-0.258</f>
        <v>0.75500000000000012</v>
      </c>
    </row>
    <row r="969" spans="1:5" ht="17">
      <c r="A969" s="39" t="s">
        <v>963</v>
      </c>
      <c r="B969" s="5" t="s">
        <v>21</v>
      </c>
      <c r="C969" s="16" t="s">
        <v>104</v>
      </c>
      <c r="D969" s="10">
        <v>90</v>
      </c>
      <c r="E969" s="27">
        <f>2.004-0.653-0.227-0.67-0.305</f>
        <v>0.14899999999999985</v>
      </c>
    </row>
    <row r="970" spans="1:5" ht="17">
      <c r="A970" s="39" t="s">
        <v>963</v>
      </c>
      <c r="B970" s="5" t="s">
        <v>852</v>
      </c>
      <c r="C970" s="16" t="s">
        <v>167</v>
      </c>
      <c r="D970" s="10">
        <v>90</v>
      </c>
      <c r="E970" s="27">
        <f>1.088-0.556</f>
        <v>0.53200000000000003</v>
      </c>
    </row>
    <row r="971" spans="1:5" ht="17">
      <c r="A971" s="39" t="s">
        <v>963</v>
      </c>
      <c r="B971" s="5" t="s">
        <v>21</v>
      </c>
      <c r="C971" s="16" t="s">
        <v>163</v>
      </c>
      <c r="D971" s="10">
        <v>90</v>
      </c>
      <c r="E971" s="27">
        <f>5.328-0.1-1.598-0.792-0.85-0.187-1.5</f>
        <v>0.30100000000000082</v>
      </c>
    </row>
    <row r="972" spans="1:5" ht="17">
      <c r="A972" s="39" t="s">
        <v>963</v>
      </c>
      <c r="B972" s="5" t="s">
        <v>21</v>
      </c>
      <c r="C972" s="16" t="s">
        <v>163</v>
      </c>
      <c r="D972" s="10">
        <v>90</v>
      </c>
      <c r="E972" s="27">
        <f>0.69-0.052-0.365</f>
        <v>0.27299999999999991</v>
      </c>
    </row>
    <row r="973" spans="1:5" ht="17">
      <c r="A973" s="39" t="s">
        <v>963</v>
      </c>
      <c r="B973" s="5" t="s">
        <v>21</v>
      </c>
      <c r="C973" s="16" t="s">
        <v>163</v>
      </c>
      <c r="D973" s="10">
        <v>100</v>
      </c>
      <c r="E973" s="27">
        <f>8.612-0.02-0.045-0.063</f>
        <v>8.484</v>
      </c>
    </row>
    <row r="974" spans="1:5" ht="17">
      <c r="A974" s="39" t="s">
        <v>963</v>
      </c>
      <c r="B974" s="5" t="s">
        <v>21</v>
      </c>
      <c r="C974" s="16" t="s">
        <v>163</v>
      </c>
      <c r="D974" s="10">
        <v>105</v>
      </c>
      <c r="E974" s="27">
        <f>0.476-0.242</f>
        <v>0.23399999999999999</v>
      </c>
    </row>
    <row r="975" spans="1:5" ht="17">
      <c r="A975" s="39" t="s">
        <v>963</v>
      </c>
      <c r="B975" s="5" t="s">
        <v>21</v>
      </c>
      <c r="C975" s="16" t="s">
        <v>163</v>
      </c>
      <c r="D975" s="10">
        <v>120</v>
      </c>
      <c r="E975" s="27">
        <f>0.78-0.09-0.047-0.506</f>
        <v>0.13700000000000001</v>
      </c>
    </row>
    <row r="976" spans="1:5" ht="17">
      <c r="A976" s="39" t="s">
        <v>963</v>
      </c>
      <c r="B976" s="5" t="s">
        <v>21</v>
      </c>
      <c r="C976" s="16" t="s">
        <v>163</v>
      </c>
      <c r="D976" s="10">
        <v>120</v>
      </c>
      <c r="E976" s="27">
        <f>1.366</f>
        <v>1.3660000000000001</v>
      </c>
    </row>
    <row r="977" spans="1:5" ht="17">
      <c r="A977" s="39" t="s">
        <v>963</v>
      </c>
      <c r="B977" s="5" t="s">
        <v>21</v>
      </c>
      <c r="C977" s="16" t="s">
        <v>163</v>
      </c>
      <c r="D977" s="10">
        <v>125</v>
      </c>
      <c r="E977" s="27">
        <f>4.448-0.197-3</f>
        <v>1.2510000000000003</v>
      </c>
    </row>
    <row r="978" spans="1:5" ht="17">
      <c r="A978" s="39" t="s">
        <v>963</v>
      </c>
      <c r="B978" s="5" t="s">
        <v>21</v>
      </c>
      <c r="C978" s="16" t="s">
        <v>163</v>
      </c>
      <c r="D978" s="10">
        <v>130</v>
      </c>
      <c r="E978" s="27">
        <f>5.532-0.563-1.125-1.08-0.256-0.056-0.038-0.11-0.078-2</f>
        <v>0.22600000000000042</v>
      </c>
    </row>
    <row r="979" spans="1:5" ht="17">
      <c r="A979" s="39" t="s">
        <v>963</v>
      </c>
      <c r="B979" s="5" t="s">
        <v>21</v>
      </c>
      <c r="C979" s="16" t="s">
        <v>163</v>
      </c>
      <c r="D979" s="10">
        <v>130</v>
      </c>
      <c r="E979" s="27">
        <f>1.654-1.135-0.316</f>
        <v>0.2029999999999999</v>
      </c>
    </row>
    <row r="980" spans="1:5" ht="17">
      <c r="A980" s="39" t="s">
        <v>963</v>
      </c>
      <c r="B980" s="5" t="s">
        <v>21</v>
      </c>
      <c r="C980" s="16" t="s">
        <v>163</v>
      </c>
      <c r="D980" s="10">
        <v>135</v>
      </c>
      <c r="E980" s="27">
        <f>1.822-1.212-0.015</f>
        <v>0.59500000000000008</v>
      </c>
    </row>
    <row r="981" spans="1:5" ht="17">
      <c r="A981" s="39" t="s">
        <v>963</v>
      </c>
      <c r="B981" s="5" t="s">
        <v>21</v>
      </c>
      <c r="C981" s="16" t="s">
        <v>163</v>
      </c>
      <c r="D981" s="10">
        <v>140</v>
      </c>
      <c r="E981" s="27">
        <f>11.222-2.99-3.038-0.588-0.128-0.552-3.5</f>
        <v>0.42599999999999882</v>
      </c>
    </row>
    <row r="982" spans="1:5" ht="17">
      <c r="A982" s="39" t="s">
        <v>963</v>
      </c>
      <c r="B982" s="5" t="s">
        <v>21</v>
      </c>
      <c r="C982" s="16" t="s">
        <v>163</v>
      </c>
      <c r="D982" s="10">
        <v>160</v>
      </c>
      <c r="E982" s="27">
        <f>5.864-1.99-0.014-3.388</f>
        <v>0.47199999999999998</v>
      </c>
    </row>
    <row r="983" spans="1:5" ht="17">
      <c r="A983" s="39" t="s">
        <v>963</v>
      </c>
      <c r="B983" s="5" t="s">
        <v>21</v>
      </c>
      <c r="C983" s="16" t="s">
        <v>163</v>
      </c>
      <c r="D983" s="10">
        <v>160</v>
      </c>
      <c r="E983" s="27">
        <f>5.3-2.216-0.776-2</f>
        <v>0.30799999999999983</v>
      </c>
    </row>
    <row r="984" spans="1:5" ht="17">
      <c r="A984" s="39" t="s">
        <v>963</v>
      </c>
      <c r="B984" s="5" t="s">
        <v>21</v>
      </c>
      <c r="C984" s="16" t="s">
        <v>163</v>
      </c>
      <c r="D984" s="10">
        <v>170</v>
      </c>
      <c r="E984" s="27">
        <f>3.392-0.614-0.372-1.685-0.374</f>
        <v>0.34700000000000009</v>
      </c>
    </row>
    <row r="985" spans="1:5" ht="17">
      <c r="A985" s="39" t="s">
        <v>963</v>
      </c>
      <c r="B985" s="5" t="s">
        <v>21</v>
      </c>
      <c r="C985" s="16" t="s">
        <v>163</v>
      </c>
      <c r="D985" s="10">
        <v>180</v>
      </c>
      <c r="E985" s="27">
        <f>5.122-0.62-0.626</f>
        <v>3.8759999999999999</v>
      </c>
    </row>
    <row r="986" spans="1:5" ht="17">
      <c r="A986" s="39" t="s">
        <v>963</v>
      </c>
      <c r="B986" s="5" t="s">
        <v>21</v>
      </c>
      <c r="C986" s="16" t="s">
        <v>163</v>
      </c>
      <c r="D986" s="10">
        <v>190</v>
      </c>
      <c r="E986" s="27">
        <f>6.21-1.352-0.013</f>
        <v>4.8449999999999998</v>
      </c>
    </row>
    <row r="987" spans="1:5" ht="17">
      <c r="A987" s="39" t="s">
        <v>963</v>
      </c>
      <c r="B987" s="5" t="s">
        <v>852</v>
      </c>
      <c r="C987" s="16" t="s">
        <v>167</v>
      </c>
      <c r="D987" s="10">
        <v>220</v>
      </c>
      <c r="E987" s="27">
        <f>3.76-0.316-2-0.11-0.3</f>
        <v>1.0339999999999998</v>
      </c>
    </row>
    <row r="988" spans="1:5" ht="17">
      <c r="A988" s="39" t="s">
        <v>963</v>
      </c>
      <c r="B988" s="5" t="s">
        <v>852</v>
      </c>
      <c r="C988" s="16" t="s">
        <v>167</v>
      </c>
      <c r="D988" s="10">
        <v>220</v>
      </c>
      <c r="E988" s="27">
        <f>3.326-1.088</f>
        <v>2.238</v>
      </c>
    </row>
    <row r="989" spans="1:5" ht="17">
      <c r="A989" s="39" t="s">
        <v>963</v>
      </c>
      <c r="B989" s="5" t="s">
        <v>21</v>
      </c>
      <c r="C989" s="16" t="s">
        <v>163</v>
      </c>
      <c r="D989" s="10">
        <v>220</v>
      </c>
      <c r="E989" s="27">
        <f>6.656-3.258</f>
        <v>3.3979999999999997</v>
      </c>
    </row>
    <row r="990" spans="1:5" ht="17">
      <c r="A990" s="39" t="s">
        <v>963</v>
      </c>
      <c r="B990" s="5" t="s">
        <v>21</v>
      </c>
      <c r="C990" s="16" t="s">
        <v>163</v>
      </c>
      <c r="D990" s="10">
        <v>220</v>
      </c>
      <c r="E990" s="27">
        <f>6.698-1.638-3</f>
        <v>2.0600000000000005</v>
      </c>
    </row>
    <row r="991" spans="1:5" ht="17">
      <c r="A991" s="39" t="s">
        <v>963</v>
      </c>
      <c r="B991" s="5" t="s">
        <v>21</v>
      </c>
      <c r="C991" s="16" t="s">
        <v>163</v>
      </c>
      <c r="D991" s="10">
        <v>250</v>
      </c>
      <c r="E991" s="27">
        <f>3.204-1.604-0.402-0.204-0.396-0.16</f>
        <v>0.43799999999999994</v>
      </c>
    </row>
    <row r="992" spans="1:5" ht="17">
      <c r="A992" s="39" t="s">
        <v>963</v>
      </c>
      <c r="B992" s="5" t="s">
        <v>852</v>
      </c>
      <c r="C992" s="16" t="s">
        <v>167</v>
      </c>
      <c r="D992" s="10">
        <v>260</v>
      </c>
      <c r="E992" s="27">
        <f>6.826-2.22-0.088</f>
        <v>4.5179999999999998</v>
      </c>
    </row>
    <row r="993" spans="1:5" ht="17">
      <c r="A993" s="39" t="s">
        <v>963</v>
      </c>
      <c r="B993" s="5" t="s">
        <v>21</v>
      </c>
      <c r="C993" s="16" t="s">
        <v>163</v>
      </c>
      <c r="D993" s="10">
        <v>340</v>
      </c>
      <c r="E993" s="27">
        <f>8.08</f>
        <v>8.08</v>
      </c>
    </row>
    <row r="994" spans="1:5" ht="17">
      <c r="A994" s="39" t="s">
        <v>963</v>
      </c>
      <c r="B994" s="5" t="s">
        <v>21</v>
      </c>
      <c r="C994" s="16" t="s">
        <v>163</v>
      </c>
      <c r="D994" s="10">
        <v>400</v>
      </c>
      <c r="E994" s="27">
        <f>5.58-0.706-1</f>
        <v>3.8740000000000006</v>
      </c>
    </row>
    <row r="995" spans="1:5" ht="17">
      <c r="A995" s="39" t="s">
        <v>963</v>
      </c>
      <c r="B995" s="5" t="s">
        <v>21</v>
      </c>
      <c r="C995" s="16" t="s">
        <v>163</v>
      </c>
      <c r="D995" s="10">
        <v>450</v>
      </c>
      <c r="E995" s="27">
        <f>5.715-2</f>
        <v>3.7149999999999999</v>
      </c>
    </row>
    <row r="996" spans="1:5" ht="17">
      <c r="A996" s="39" t="s">
        <v>963</v>
      </c>
      <c r="B996" s="5" t="s">
        <v>21</v>
      </c>
      <c r="C996" s="16" t="s">
        <v>163</v>
      </c>
      <c r="D996" s="10">
        <v>460</v>
      </c>
      <c r="E996" s="27">
        <f>5.7</f>
        <v>5.7</v>
      </c>
    </row>
    <row r="997" spans="1:5" ht="17">
      <c r="A997" s="39" t="s">
        <v>963</v>
      </c>
      <c r="B997" s="13" t="s">
        <v>21</v>
      </c>
      <c r="C997" s="16" t="s">
        <v>197</v>
      </c>
      <c r="D997" s="10" t="s">
        <v>126</v>
      </c>
      <c r="E997" s="27">
        <f>1.136-0.034-0.054-0.028-0.02-0.232-0.082-0.123-0.126</f>
        <v>0.43699999999999983</v>
      </c>
    </row>
    <row r="998" spans="1:5" ht="17">
      <c r="A998" s="39" t="s">
        <v>963</v>
      </c>
      <c r="B998" s="13" t="s">
        <v>21</v>
      </c>
      <c r="C998" s="16" t="s">
        <v>197</v>
      </c>
      <c r="D998" s="10" t="s">
        <v>126</v>
      </c>
      <c r="E998" s="27">
        <f>1.756</f>
        <v>1.756</v>
      </c>
    </row>
    <row r="999" spans="1:5" ht="17">
      <c r="A999" s="39" t="s">
        <v>963</v>
      </c>
      <c r="B999" s="13" t="s">
        <v>21</v>
      </c>
      <c r="C999" s="16" t="s">
        <v>197</v>
      </c>
      <c r="D999" s="10" t="s">
        <v>154</v>
      </c>
      <c r="E999" s="27">
        <f>1.866</f>
        <v>1.8660000000000001</v>
      </c>
    </row>
    <row r="1000" spans="1:5" ht="17">
      <c r="A1000" s="39" t="s">
        <v>963</v>
      </c>
      <c r="B1000" s="5" t="s">
        <v>21</v>
      </c>
      <c r="C1000" s="1" t="s">
        <v>63</v>
      </c>
      <c r="D1000" s="10" t="s">
        <v>36</v>
      </c>
      <c r="E1000" s="27">
        <v>0.25</v>
      </c>
    </row>
    <row r="1001" spans="1:5" ht="17">
      <c r="A1001" s="39" t="s">
        <v>963</v>
      </c>
      <c r="B1001" s="13" t="s">
        <v>21</v>
      </c>
      <c r="C1001" s="16" t="s">
        <v>197</v>
      </c>
      <c r="D1001" s="10" t="s">
        <v>134</v>
      </c>
      <c r="E1001" s="27">
        <f>1.775</f>
        <v>1.7749999999999999</v>
      </c>
    </row>
    <row r="1002" spans="1:5" ht="17">
      <c r="A1002" s="39" t="s">
        <v>963</v>
      </c>
      <c r="B1002" s="13" t="s">
        <v>21</v>
      </c>
      <c r="C1002" s="16" t="s">
        <v>197</v>
      </c>
      <c r="D1002" s="10" t="s">
        <v>171</v>
      </c>
      <c r="E1002" s="27">
        <f>1.764</f>
        <v>1.764</v>
      </c>
    </row>
    <row r="1003" spans="1:5" ht="17">
      <c r="A1003" s="39" t="s">
        <v>963</v>
      </c>
      <c r="B1003" s="13" t="s">
        <v>21</v>
      </c>
      <c r="C1003" s="10" t="s">
        <v>163</v>
      </c>
      <c r="D1003" s="10" t="s">
        <v>515</v>
      </c>
      <c r="E1003" s="27">
        <f>3.772-0.18-0.956</f>
        <v>2.6359999999999997</v>
      </c>
    </row>
    <row r="1004" spans="1:5" ht="17">
      <c r="A1004" s="39" t="s">
        <v>963</v>
      </c>
      <c r="B1004" s="13" t="s">
        <v>21</v>
      </c>
      <c r="C1004" s="10" t="s">
        <v>163</v>
      </c>
      <c r="D1004" s="10" t="s">
        <v>515</v>
      </c>
      <c r="E1004" s="27">
        <f>1.832</f>
        <v>1.8320000000000001</v>
      </c>
    </row>
    <row r="1005" spans="1:5" ht="17">
      <c r="A1005" s="39" t="s">
        <v>963</v>
      </c>
      <c r="B1005" s="13" t="s">
        <v>21</v>
      </c>
      <c r="C1005" s="10" t="s">
        <v>163</v>
      </c>
      <c r="D1005" s="10" t="s">
        <v>172</v>
      </c>
      <c r="E1005" s="27">
        <f>3.224-2.154</f>
        <v>1.0700000000000003</v>
      </c>
    </row>
    <row r="1006" spans="1:5" ht="17">
      <c r="A1006" s="39" t="s">
        <v>963</v>
      </c>
      <c r="B1006" s="13" t="s">
        <v>21</v>
      </c>
      <c r="C1006" s="10" t="s">
        <v>163</v>
      </c>
      <c r="D1006" s="10" t="s">
        <v>127</v>
      </c>
      <c r="E1006" s="27">
        <f>3.108-0.032-0.752-0.258-1.344-0.382-0.07-0.13-0.12</f>
        <v>1.999999999999974E-2</v>
      </c>
    </row>
    <row r="1007" spans="1:5" ht="17">
      <c r="A1007" s="39" t="s">
        <v>963</v>
      </c>
      <c r="B1007" s="13" t="s">
        <v>21</v>
      </c>
      <c r="C1007" s="10" t="s">
        <v>163</v>
      </c>
      <c r="D1007" s="10" t="s">
        <v>127</v>
      </c>
      <c r="E1007" s="27">
        <f>1.676-0.26-0.038-0.048-0.05-0.348-0.074</f>
        <v>0.85799999999999987</v>
      </c>
    </row>
    <row r="1008" spans="1:5" ht="17">
      <c r="A1008" s="39" t="s">
        <v>963</v>
      </c>
      <c r="B1008" s="13" t="s">
        <v>21</v>
      </c>
      <c r="C1008" s="10" t="s">
        <v>163</v>
      </c>
      <c r="D1008" s="10" t="s">
        <v>127</v>
      </c>
      <c r="E1008" s="27">
        <f>2.044</f>
        <v>2.044</v>
      </c>
    </row>
    <row r="1009" spans="1:5" ht="17">
      <c r="A1009" s="39" t="s">
        <v>963</v>
      </c>
      <c r="B1009" s="13" t="s">
        <v>21</v>
      </c>
      <c r="C1009" s="10" t="s">
        <v>163</v>
      </c>
      <c r="D1009" s="5" t="s">
        <v>538</v>
      </c>
      <c r="E1009" s="28">
        <f>0.11-0.066</f>
        <v>4.3999999999999997E-2</v>
      </c>
    </row>
    <row r="1010" spans="1:5" ht="17">
      <c r="A1010" s="39" t="s">
        <v>963</v>
      </c>
      <c r="B1010" s="13" t="s">
        <v>21</v>
      </c>
      <c r="C1010" s="10" t="s">
        <v>163</v>
      </c>
      <c r="D1010" s="5" t="s">
        <v>183</v>
      </c>
      <c r="E1010" s="28">
        <f>4.976-1.224-0.57-0.194-0.198-1.422-0.032</f>
        <v>1.3360000000000001</v>
      </c>
    </row>
    <row r="1011" spans="1:5" ht="17">
      <c r="A1011" s="39" t="s">
        <v>963</v>
      </c>
      <c r="B1011" s="13" t="s">
        <v>21</v>
      </c>
      <c r="C1011" s="10" t="s">
        <v>163</v>
      </c>
      <c r="D1011" s="5" t="s">
        <v>183</v>
      </c>
      <c r="E1011" s="28">
        <f>1.284</f>
        <v>1.284</v>
      </c>
    </row>
    <row r="1012" spans="1:5" ht="17">
      <c r="A1012" s="39" t="s">
        <v>963</v>
      </c>
      <c r="B1012" s="13" t="s">
        <v>21</v>
      </c>
      <c r="C1012" s="10" t="s">
        <v>163</v>
      </c>
      <c r="D1012" s="5" t="s">
        <v>183</v>
      </c>
      <c r="E1012" s="28">
        <f>4.113</f>
        <v>4.1130000000000004</v>
      </c>
    </row>
    <row r="1013" spans="1:5" ht="17">
      <c r="A1013" s="39" t="s">
        <v>963</v>
      </c>
      <c r="B1013" s="13" t="s">
        <v>21</v>
      </c>
      <c r="C1013" s="10" t="s">
        <v>163</v>
      </c>
      <c r="D1013" s="5" t="s">
        <v>128</v>
      </c>
      <c r="E1013" s="28">
        <f>2.424-0.652-0.274-0.238-0.022-0.254-0.226-0.114-0.258-0.19</f>
        <v>0.19599999999999979</v>
      </c>
    </row>
    <row r="1014" spans="1:5" ht="17">
      <c r="A1014" s="39" t="s">
        <v>963</v>
      </c>
      <c r="B1014" s="13" t="s">
        <v>21</v>
      </c>
      <c r="C1014" s="10" t="s">
        <v>163</v>
      </c>
      <c r="D1014" s="5" t="s">
        <v>537</v>
      </c>
      <c r="E1014" s="28">
        <f>0.022</f>
        <v>2.1999999999999999E-2</v>
      </c>
    </row>
    <row r="1015" spans="1:5" ht="17">
      <c r="A1015" s="39" t="s">
        <v>963</v>
      </c>
      <c r="B1015" s="13" t="s">
        <v>21</v>
      </c>
      <c r="C1015" s="10" t="s">
        <v>163</v>
      </c>
      <c r="D1015" s="5" t="s">
        <v>536</v>
      </c>
      <c r="E1015" s="28">
        <f>0.17-0.148</f>
        <v>2.200000000000002E-2</v>
      </c>
    </row>
    <row r="1016" spans="1:5" ht="17">
      <c r="A1016" s="39" t="s">
        <v>963</v>
      </c>
      <c r="B1016" s="13" t="s">
        <v>21</v>
      </c>
      <c r="C1016" s="10" t="s">
        <v>163</v>
      </c>
      <c r="D1016" s="5" t="s">
        <v>128</v>
      </c>
      <c r="E1016" s="28">
        <f>2.97-0.258-0.4-0.284-0.308-0.294-0.022-0.148-0.074-0.042-0.082-0.244</f>
        <v>0.81400000000000028</v>
      </c>
    </row>
    <row r="1017" spans="1:5" ht="17">
      <c r="A1017" s="39" t="s">
        <v>963</v>
      </c>
      <c r="B1017" s="13" t="s">
        <v>21</v>
      </c>
      <c r="C1017" s="10" t="s">
        <v>163</v>
      </c>
      <c r="D1017" s="5" t="s">
        <v>622</v>
      </c>
      <c r="E1017" s="28">
        <f>0.022</f>
        <v>2.1999999999999999E-2</v>
      </c>
    </row>
    <row r="1018" spans="1:5" ht="17">
      <c r="A1018" s="39" t="s">
        <v>963</v>
      </c>
      <c r="B1018" s="13" t="s">
        <v>21</v>
      </c>
      <c r="C1018" s="10" t="s">
        <v>163</v>
      </c>
      <c r="D1018" s="10" t="s">
        <v>128</v>
      </c>
      <c r="E1018" s="27">
        <f>2.58</f>
        <v>2.58</v>
      </c>
    </row>
    <row r="1019" spans="1:5" ht="17">
      <c r="A1019" s="39" t="s">
        <v>963</v>
      </c>
      <c r="B1019" s="13" t="s">
        <v>21</v>
      </c>
      <c r="C1019" s="10" t="s">
        <v>163</v>
      </c>
      <c r="D1019" s="5" t="s">
        <v>213</v>
      </c>
      <c r="E1019" s="28">
        <f>1.608</f>
        <v>1.6080000000000001</v>
      </c>
    </row>
    <row r="1020" spans="1:5" ht="17">
      <c r="A1020" s="39" t="s">
        <v>963</v>
      </c>
      <c r="B1020" s="13" t="s">
        <v>21</v>
      </c>
      <c r="C1020" s="10" t="s">
        <v>163</v>
      </c>
      <c r="D1020" s="5" t="s">
        <v>213</v>
      </c>
      <c r="E1020" s="28">
        <f>1.678</f>
        <v>1.6779999999999999</v>
      </c>
    </row>
    <row r="1021" spans="1:5" ht="17">
      <c r="A1021" s="39" t="s">
        <v>963</v>
      </c>
      <c r="B1021" s="13" t="s">
        <v>21</v>
      </c>
      <c r="C1021" s="10" t="s">
        <v>163</v>
      </c>
      <c r="D1021" s="5" t="s">
        <v>213</v>
      </c>
      <c r="E1021" s="28">
        <f>1.654</f>
        <v>1.6539999999999999</v>
      </c>
    </row>
    <row r="1022" spans="1:5" ht="17">
      <c r="A1022" s="39" t="s">
        <v>963</v>
      </c>
      <c r="B1022" s="13" t="s">
        <v>21</v>
      </c>
      <c r="C1022" s="10" t="s">
        <v>163</v>
      </c>
      <c r="D1022" s="5" t="s">
        <v>177</v>
      </c>
      <c r="E1022" s="28">
        <f>3.634-0.538-0.042-0.79-0.704-0.352-0.196-0.136-0.136-0.45</f>
        <v>0.2900000000000002</v>
      </c>
    </row>
    <row r="1023" spans="1:5" ht="17">
      <c r="A1023" s="39" t="s">
        <v>963</v>
      </c>
      <c r="B1023" s="13" t="s">
        <v>21</v>
      </c>
      <c r="C1023" s="10" t="s">
        <v>163</v>
      </c>
      <c r="D1023" s="5" t="s">
        <v>177</v>
      </c>
      <c r="E1023" s="28">
        <f>1.668-0.802-0.306-0.088</f>
        <v>0.47199999999999986</v>
      </c>
    </row>
    <row r="1024" spans="1:5" ht="17">
      <c r="A1024" s="39" t="s">
        <v>963</v>
      </c>
      <c r="B1024" s="13" t="s">
        <v>21</v>
      </c>
      <c r="C1024" s="10" t="s">
        <v>163</v>
      </c>
      <c r="D1024" s="5" t="s">
        <v>177</v>
      </c>
      <c r="E1024" s="28">
        <f>3.37-0.39-0.882</f>
        <v>2.0979999999999999</v>
      </c>
    </row>
    <row r="1025" spans="1:5" ht="17">
      <c r="A1025" s="39" t="s">
        <v>963</v>
      </c>
      <c r="B1025" s="13" t="s">
        <v>21</v>
      </c>
      <c r="C1025" s="16" t="s">
        <v>163</v>
      </c>
      <c r="D1025" s="5" t="s">
        <v>788</v>
      </c>
      <c r="E1025" s="28">
        <f>2.512</f>
        <v>2.512</v>
      </c>
    </row>
    <row r="1026" spans="1:5" ht="17">
      <c r="A1026" s="39" t="s">
        <v>963</v>
      </c>
      <c r="B1026" s="13" t="s">
        <v>21</v>
      </c>
      <c r="C1026" s="16" t="s">
        <v>163</v>
      </c>
      <c r="D1026" s="5" t="s">
        <v>137</v>
      </c>
      <c r="E1026" s="28">
        <f>3.574-1.63-1.008-0.306-0.122</f>
        <v>0.5079999999999999</v>
      </c>
    </row>
    <row r="1027" spans="1:5" ht="17">
      <c r="A1027" s="39" t="s">
        <v>963</v>
      </c>
      <c r="B1027" s="13" t="s">
        <v>21</v>
      </c>
      <c r="C1027" s="16" t="s">
        <v>163</v>
      </c>
      <c r="D1027" s="5" t="s">
        <v>137</v>
      </c>
      <c r="E1027" s="28">
        <f>3.366-0.574-0.915</f>
        <v>1.8770000000000002</v>
      </c>
    </row>
    <row r="1028" spans="1:5" ht="17">
      <c r="A1028" s="39" t="s">
        <v>963</v>
      </c>
      <c r="B1028" s="13" t="s">
        <v>21</v>
      </c>
      <c r="C1028" s="16" t="s">
        <v>163</v>
      </c>
      <c r="D1028" s="5" t="s">
        <v>137</v>
      </c>
      <c r="E1028" s="28">
        <f>4.758</f>
        <v>4.758</v>
      </c>
    </row>
    <row r="1029" spans="1:5" ht="17">
      <c r="A1029" s="39" t="s">
        <v>963</v>
      </c>
      <c r="B1029" s="13" t="s">
        <v>21</v>
      </c>
      <c r="C1029" s="10" t="s">
        <v>163</v>
      </c>
      <c r="D1029" s="5" t="s">
        <v>450</v>
      </c>
      <c r="E1029" s="28">
        <f>2.21-0.88-0.19-0.112-0.136-(0.008)</f>
        <v>0.88400000000000001</v>
      </c>
    </row>
    <row r="1030" spans="1:5" ht="17">
      <c r="A1030" s="39" t="s">
        <v>963</v>
      </c>
      <c r="B1030" s="13" t="s">
        <v>21</v>
      </c>
      <c r="C1030" s="16" t="s">
        <v>163</v>
      </c>
      <c r="D1030" s="5" t="s">
        <v>449</v>
      </c>
      <c r="E1030" s="28">
        <f>0.112</f>
        <v>0.112</v>
      </c>
    </row>
    <row r="1031" spans="1:5" ht="17">
      <c r="A1031" s="39" t="s">
        <v>963</v>
      </c>
      <c r="B1031" s="13" t="s">
        <v>21</v>
      </c>
      <c r="C1031" s="10" t="s">
        <v>163</v>
      </c>
      <c r="D1031" s="5" t="s">
        <v>451</v>
      </c>
      <c r="E1031" s="28">
        <f>0.136</f>
        <v>0.13600000000000001</v>
      </c>
    </row>
    <row r="1032" spans="1:5" ht="17">
      <c r="A1032" s="39" t="s">
        <v>963</v>
      </c>
      <c r="B1032" s="13" t="s">
        <v>21</v>
      </c>
      <c r="C1032" s="10" t="s">
        <v>163</v>
      </c>
      <c r="D1032" s="5" t="s">
        <v>129</v>
      </c>
      <c r="E1032" s="28">
        <f>2.376-0.406</f>
        <v>1.9699999999999998</v>
      </c>
    </row>
    <row r="1033" spans="1:5" ht="17">
      <c r="A1033" s="39" t="s">
        <v>963</v>
      </c>
      <c r="B1033" s="13" t="s">
        <v>21</v>
      </c>
      <c r="C1033" s="10" t="s">
        <v>163</v>
      </c>
      <c r="D1033" s="5" t="s">
        <v>125</v>
      </c>
      <c r="E1033" s="28">
        <f>2.176-0.134-0.91-0.436-0.144-0.31</f>
        <v>0.24200000000000016</v>
      </c>
    </row>
    <row r="1034" spans="1:5" ht="17">
      <c r="A1034" s="39" t="s">
        <v>963</v>
      </c>
      <c r="B1034" s="13" t="s">
        <v>21</v>
      </c>
      <c r="C1034" s="10" t="s">
        <v>163</v>
      </c>
      <c r="D1034" s="5" t="s">
        <v>125</v>
      </c>
      <c r="E1034" s="28">
        <f>2.09-0.362-0.336-0.29-0.33-0.33-0.42-(0.022)+(0.33)</f>
        <v>0.32999999999999957</v>
      </c>
    </row>
    <row r="1035" spans="1:5" ht="17">
      <c r="A1035" s="39" t="s">
        <v>963</v>
      </c>
      <c r="B1035" s="13" t="s">
        <v>21</v>
      </c>
      <c r="C1035" s="10" t="s">
        <v>163</v>
      </c>
      <c r="D1035" s="5" t="s">
        <v>586</v>
      </c>
      <c r="E1035" s="28">
        <f>0.362-0.31</f>
        <v>5.1999999999999991E-2</v>
      </c>
    </row>
    <row r="1036" spans="1:5" ht="17">
      <c r="A1036" s="39" t="s">
        <v>963</v>
      </c>
      <c r="B1036" s="13" t="s">
        <v>21</v>
      </c>
      <c r="C1036" s="10" t="s">
        <v>163</v>
      </c>
      <c r="D1036" s="5" t="s">
        <v>125</v>
      </c>
      <c r="E1036" s="28">
        <f>4.31</f>
        <v>4.3099999999999996</v>
      </c>
    </row>
    <row r="1037" spans="1:5" ht="17">
      <c r="A1037" s="39" t="s">
        <v>963</v>
      </c>
      <c r="B1037" s="13" t="s">
        <v>21</v>
      </c>
      <c r="C1037" s="10" t="s">
        <v>163</v>
      </c>
      <c r="D1037" s="5" t="s">
        <v>317</v>
      </c>
      <c r="E1037" s="30">
        <f>0.106</f>
        <v>0.106</v>
      </c>
    </row>
    <row r="1038" spans="1:5" ht="17">
      <c r="A1038" s="39" t="s">
        <v>963</v>
      </c>
      <c r="B1038" s="13" t="s">
        <v>21</v>
      </c>
      <c r="C1038" s="10" t="s">
        <v>163</v>
      </c>
      <c r="D1038" s="5" t="s">
        <v>130</v>
      </c>
      <c r="E1038" s="28">
        <f>2.72-0.226-0.338-0.042-0.038-0.228-0.584-0.13-0.12-0.444-0.084</f>
        <v>0.48600000000000071</v>
      </c>
    </row>
    <row r="1039" spans="1:5" ht="17">
      <c r="A1039" s="39" t="s">
        <v>963</v>
      </c>
      <c r="B1039" s="13" t="s">
        <v>21</v>
      </c>
      <c r="C1039" s="10" t="s">
        <v>163</v>
      </c>
      <c r="D1039" s="5" t="s">
        <v>429</v>
      </c>
      <c r="E1039" s="28">
        <f>0.042</f>
        <v>4.2000000000000003E-2</v>
      </c>
    </row>
    <row r="1040" spans="1:5" ht="17">
      <c r="A1040" s="39" t="s">
        <v>963</v>
      </c>
      <c r="B1040" s="13" t="s">
        <v>21</v>
      </c>
      <c r="C1040" s="10" t="s">
        <v>163</v>
      </c>
      <c r="D1040" s="5" t="s">
        <v>430</v>
      </c>
      <c r="E1040" s="28">
        <f>0.038</f>
        <v>3.7999999999999999E-2</v>
      </c>
    </row>
    <row r="1041" spans="1:5" ht="17">
      <c r="A1041" s="39" t="s">
        <v>963</v>
      </c>
      <c r="B1041" s="13" t="s">
        <v>21</v>
      </c>
      <c r="C1041" s="10" t="s">
        <v>163</v>
      </c>
      <c r="D1041" s="5" t="s">
        <v>587</v>
      </c>
      <c r="E1041" s="28">
        <f>0.084-0.05</f>
        <v>3.4000000000000002E-2</v>
      </c>
    </row>
    <row r="1042" spans="1:5" ht="17">
      <c r="A1042" s="39" t="s">
        <v>963</v>
      </c>
      <c r="B1042" s="13" t="s">
        <v>21</v>
      </c>
      <c r="C1042" s="10" t="s">
        <v>163</v>
      </c>
      <c r="D1042" s="5" t="s">
        <v>130</v>
      </c>
      <c r="E1042" s="28">
        <f>2.626-0.658-0.294</f>
        <v>1.6739999999999999</v>
      </c>
    </row>
    <row r="1043" spans="1:5" ht="17">
      <c r="A1043" s="39" t="s">
        <v>963</v>
      </c>
      <c r="B1043" s="13" t="s">
        <v>21</v>
      </c>
      <c r="C1043" s="10" t="s">
        <v>163</v>
      </c>
      <c r="D1043" s="5" t="s">
        <v>130</v>
      </c>
      <c r="E1043" s="28">
        <f>2.43</f>
        <v>2.4300000000000002</v>
      </c>
    </row>
    <row r="1044" spans="1:5" ht="17">
      <c r="A1044" s="39" t="s">
        <v>963</v>
      </c>
      <c r="B1044" s="13" t="s">
        <v>21</v>
      </c>
      <c r="C1044" s="10" t="s">
        <v>163</v>
      </c>
      <c r="D1044" s="5" t="s">
        <v>399</v>
      </c>
      <c r="E1044" s="28">
        <f>2.604-0.486-0.09-0.25-0.086-0.356-0.144-0.716</f>
        <v>0.47600000000000042</v>
      </c>
    </row>
    <row r="1045" spans="1:5" ht="17">
      <c r="A1045" s="39" t="s">
        <v>963</v>
      </c>
      <c r="B1045" s="13" t="s">
        <v>21</v>
      </c>
      <c r="C1045" s="10" t="s">
        <v>163</v>
      </c>
      <c r="D1045" s="5" t="s">
        <v>431</v>
      </c>
      <c r="E1045" s="28">
        <f>0.09</f>
        <v>0.09</v>
      </c>
    </row>
    <row r="1046" spans="1:5" ht="17">
      <c r="A1046" s="39" t="s">
        <v>963</v>
      </c>
      <c r="B1046" s="13" t="s">
        <v>21</v>
      </c>
      <c r="C1046" s="10" t="s">
        <v>163</v>
      </c>
      <c r="D1046" s="5" t="s">
        <v>431</v>
      </c>
      <c r="E1046" s="28">
        <f>0.144-0.084-0.016-0.016</f>
        <v>2.7999999999999983E-2</v>
      </c>
    </row>
    <row r="1047" spans="1:5" ht="17">
      <c r="A1047" s="39" t="s">
        <v>963</v>
      </c>
      <c r="B1047" s="13" t="s">
        <v>21</v>
      </c>
      <c r="C1047" s="10" t="s">
        <v>163</v>
      </c>
      <c r="D1047" s="5" t="s">
        <v>823</v>
      </c>
      <c r="E1047" s="28">
        <f>0.016</f>
        <v>1.6E-2</v>
      </c>
    </row>
    <row r="1048" spans="1:5" ht="17">
      <c r="A1048" s="39" t="s">
        <v>963</v>
      </c>
      <c r="B1048" s="13" t="s">
        <v>21</v>
      </c>
      <c r="C1048" s="10" t="s">
        <v>163</v>
      </c>
      <c r="D1048" s="5" t="s">
        <v>399</v>
      </c>
      <c r="E1048" s="28">
        <f>2.936</f>
        <v>2.9359999999999999</v>
      </c>
    </row>
    <row r="1049" spans="1:5" ht="17">
      <c r="A1049" s="39" t="s">
        <v>963</v>
      </c>
      <c r="B1049" s="13" t="s">
        <v>21</v>
      </c>
      <c r="C1049" s="10" t="s">
        <v>163</v>
      </c>
      <c r="D1049" s="5" t="s">
        <v>432</v>
      </c>
      <c r="E1049" s="28">
        <f>0.052</f>
        <v>5.1999999999999998E-2</v>
      </c>
    </row>
    <row r="1050" spans="1:5" ht="17">
      <c r="A1050" s="39" t="s">
        <v>963</v>
      </c>
      <c r="B1050" s="13" t="s">
        <v>21</v>
      </c>
      <c r="C1050" s="10" t="s">
        <v>163</v>
      </c>
      <c r="D1050" s="5" t="s">
        <v>433</v>
      </c>
      <c r="E1050" s="28">
        <f>0.044</f>
        <v>4.3999999999999997E-2</v>
      </c>
    </row>
    <row r="1051" spans="1:5" ht="17">
      <c r="A1051" s="39" t="s">
        <v>963</v>
      </c>
      <c r="B1051" s="13" t="s">
        <v>21</v>
      </c>
      <c r="C1051" s="10" t="s">
        <v>163</v>
      </c>
      <c r="D1051" s="5" t="s">
        <v>588</v>
      </c>
      <c r="E1051" s="28">
        <f>0.456-0.394</f>
        <v>6.2E-2</v>
      </c>
    </row>
    <row r="1052" spans="1:5" ht="17">
      <c r="A1052" s="39" t="s">
        <v>963</v>
      </c>
      <c r="B1052" s="13" t="s">
        <v>21</v>
      </c>
      <c r="C1052" s="10" t="s">
        <v>163</v>
      </c>
      <c r="D1052" s="5" t="s">
        <v>400</v>
      </c>
      <c r="E1052" s="28">
        <f>3.302</f>
        <v>3.302</v>
      </c>
    </row>
    <row r="1053" spans="1:5" ht="17">
      <c r="A1053" s="39" t="s">
        <v>963</v>
      </c>
      <c r="B1053" s="13" t="s">
        <v>21</v>
      </c>
      <c r="C1053" s="10" t="s">
        <v>163</v>
      </c>
      <c r="D1053" s="5" t="s">
        <v>178</v>
      </c>
      <c r="E1053" s="28">
        <f>3.322-0.206-0.454-1.896</f>
        <v>0.76600000000000001</v>
      </c>
    </row>
    <row r="1054" spans="1:5" ht="17">
      <c r="A1054" s="39" t="s">
        <v>963</v>
      </c>
      <c r="B1054" s="13" t="s">
        <v>21</v>
      </c>
      <c r="C1054" s="10" t="s">
        <v>163</v>
      </c>
      <c r="D1054" s="5" t="s">
        <v>541</v>
      </c>
      <c r="E1054" s="28">
        <f>0.206-0.152</f>
        <v>5.3999999999999992E-2</v>
      </c>
    </row>
    <row r="1055" spans="1:5" ht="17">
      <c r="A1055" s="39" t="s">
        <v>963</v>
      </c>
      <c r="B1055" s="13" t="s">
        <v>21</v>
      </c>
      <c r="C1055" s="10" t="s">
        <v>163</v>
      </c>
      <c r="D1055" s="5" t="s">
        <v>178</v>
      </c>
      <c r="E1055" s="28">
        <f>2.886</f>
        <v>2.8860000000000001</v>
      </c>
    </row>
    <row r="1056" spans="1:5" ht="17">
      <c r="A1056" s="39" t="s">
        <v>963</v>
      </c>
      <c r="B1056" s="13" t="s">
        <v>21</v>
      </c>
      <c r="C1056" s="10" t="s">
        <v>163</v>
      </c>
      <c r="D1056" s="5" t="s">
        <v>540</v>
      </c>
      <c r="E1056" s="28">
        <f>0.584-0.502</f>
        <v>8.1999999999999962E-2</v>
      </c>
    </row>
    <row r="1057" spans="1:5" ht="17">
      <c r="A1057" s="39" t="s">
        <v>963</v>
      </c>
      <c r="B1057" s="13" t="s">
        <v>21</v>
      </c>
      <c r="C1057" s="10" t="s">
        <v>163</v>
      </c>
      <c r="D1057" s="10" t="s">
        <v>459</v>
      </c>
      <c r="E1057" s="27">
        <f>4.54-0.65-0.16-0.338-0.346-0.814-0.782</f>
        <v>1.4499999999999997</v>
      </c>
    </row>
    <row r="1058" spans="1:5" ht="17">
      <c r="A1058" s="39" t="s">
        <v>963</v>
      </c>
      <c r="B1058" s="13" t="s">
        <v>21</v>
      </c>
      <c r="C1058" s="10" t="s">
        <v>163</v>
      </c>
      <c r="D1058" s="1" t="s">
        <v>318</v>
      </c>
      <c r="E1058" s="28">
        <f>0.05</f>
        <v>0.05</v>
      </c>
    </row>
    <row r="1059" spans="1:5" ht="17">
      <c r="A1059" s="39" t="s">
        <v>963</v>
      </c>
      <c r="B1059" s="13" t="s">
        <v>21</v>
      </c>
      <c r="C1059" s="10" t="s">
        <v>163</v>
      </c>
      <c r="D1059" s="1" t="s">
        <v>256</v>
      </c>
      <c r="E1059" s="28">
        <f>5.276-2.504-0.99</f>
        <v>1.7819999999999998</v>
      </c>
    </row>
    <row r="1060" spans="1:5" ht="17">
      <c r="A1060" s="39" t="s">
        <v>963</v>
      </c>
      <c r="B1060" s="13" t="s">
        <v>21</v>
      </c>
      <c r="C1060" s="10" t="s">
        <v>163</v>
      </c>
      <c r="D1060" s="1" t="s">
        <v>250</v>
      </c>
      <c r="E1060" s="28">
        <f>4.196-0.324-0.324-0.344-0.326</f>
        <v>2.8780000000000001</v>
      </c>
    </row>
    <row r="1061" spans="1:5" ht="17">
      <c r="A1061" s="39" t="s">
        <v>963</v>
      </c>
      <c r="B1061" s="13" t="s">
        <v>21</v>
      </c>
      <c r="C1061" s="10" t="s">
        <v>163</v>
      </c>
      <c r="D1061" s="1" t="s">
        <v>250</v>
      </c>
      <c r="E1061" s="28">
        <f>3.698</f>
        <v>3.698</v>
      </c>
    </row>
    <row r="1062" spans="1:5" ht="17">
      <c r="A1062" s="39" t="s">
        <v>963</v>
      </c>
      <c r="B1062" s="13" t="s">
        <v>21</v>
      </c>
      <c r="C1062" s="10" t="s">
        <v>163</v>
      </c>
      <c r="D1062" s="1" t="s">
        <v>506</v>
      </c>
      <c r="E1062" s="28">
        <f>4.436-0.044-0.842</f>
        <v>3.5500000000000003</v>
      </c>
    </row>
    <row r="1063" spans="1:5" ht="17">
      <c r="A1063" s="39" t="s">
        <v>963</v>
      </c>
      <c r="B1063" s="13" t="s">
        <v>21</v>
      </c>
      <c r="C1063" s="10" t="s">
        <v>163</v>
      </c>
      <c r="D1063" s="1" t="s">
        <v>507</v>
      </c>
      <c r="E1063" s="28">
        <f>13.386-1.77-2.414-1.638</f>
        <v>7.5640000000000001</v>
      </c>
    </row>
    <row r="1064" spans="1:5" ht="17">
      <c r="A1064" s="39" t="s">
        <v>963</v>
      </c>
      <c r="B1064" s="5" t="s">
        <v>21</v>
      </c>
      <c r="C1064" s="16" t="s">
        <v>163</v>
      </c>
      <c r="D1064" s="10">
        <v>141</v>
      </c>
      <c r="E1064" s="27">
        <f>1.236</f>
        <v>1.236</v>
      </c>
    </row>
    <row r="1065" spans="1:5" ht="17">
      <c r="A1065" s="39" t="s">
        <v>963</v>
      </c>
      <c r="B1065" s="5" t="s">
        <v>21</v>
      </c>
      <c r="C1065" s="16" t="s">
        <v>163</v>
      </c>
      <c r="D1065" s="10">
        <v>207</v>
      </c>
      <c r="E1065" s="27">
        <f>3.856-2.902-0.834</f>
        <v>0.11999999999999977</v>
      </c>
    </row>
    <row r="1066" spans="1:5" ht="17">
      <c r="A1066" s="39" t="s">
        <v>963</v>
      </c>
      <c r="B1066" s="5" t="s">
        <v>21</v>
      </c>
      <c r="C1066" s="16" t="s">
        <v>163</v>
      </c>
      <c r="D1066" s="10">
        <v>232</v>
      </c>
      <c r="E1066" s="27">
        <f>4.802-4.466</f>
        <v>0.33599999999999941</v>
      </c>
    </row>
    <row r="1067" spans="1:5" ht="17">
      <c r="A1067" s="39" t="s">
        <v>963</v>
      </c>
      <c r="B1067" s="5" t="s">
        <v>436</v>
      </c>
      <c r="C1067" s="16" t="s">
        <v>163</v>
      </c>
      <c r="D1067" s="10">
        <v>262</v>
      </c>
      <c r="E1067" s="27">
        <f>6.404</f>
        <v>6.4039999999999999</v>
      </c>
    </row>
    <row r="1068" spans="1:5" ht="17">
      <c r="A1068" s="39" t="s">
        <v>963</v>
      </c>
      <c r="B1068" s="5" t="s">
        <v>21</v>
      </c>
      <c r="C1068" s="16" t="s">
        <v>163</v>
      </c>
      <c r="D1068" s="10">
        <v>423</v>
      </c>
      <c r="E1068" s="27">
        <f>3.422</f>
        <v>3.4220000000000002</v>
      </c>
    </row>
    <row r="1069" spans="1:5" ht="17">
      <c r="A1069" s="39" t="s">
        <v>963</v>
      </c>
      <c r="B1069" s="5" t="s">
        <v>21</v>
      </c>
      <c r="C1069" s="16" t="s">
        <v>163</v>
      </c>
      <c r="D1069" s="10">
        <v>463</v>
      </c>
      <c r="E1069" s="27">
        <f>5.088</f>
        <v>5.0880000000000001</v>
      </c>
    </row>
    <row r="1070" spans="1:5" ht="17">
      <c r="A1070" s="39" t="s">
        <v>963</v>
      </c>
      <c r="B1070" s="5" t="s">
        <v>21</v>
      </c>
      <c r="C1070" s="16" t="s">
        <v>163</v>
      </c>
      <c r="D1070" s="10">
        <v>523</v>
      </c>
      <c r="E1070" s="27">
        <f>5.354-1.088-0.29-0.308</f>
        <v>3.6680000000000001</v>
      </c>
    </row>
    <row r="1071" spans="1:5" ht="17">
      <c r="A1071" s="39" t="s">
        <v>963</v>
      </c>
      <c r="B1071" s="5" t="s">
        <v>21</v>
      </c>
      <c r="C1071" s="16" t="s">
        <v>163</v>
      </c>
      <c r="D1071" s="10">
        <v>603</v>
      </c>
      <c r="E1071" s="27">
        <f>5.172-0.727-0.478</f>
        <v>3.9669999999999996</v>
      </c>
    </row>
    <row r="1072" spans="1:5" ht="17">
      <c r="A1072" s="39" t="s">
        <v>963</v>
      </c>
      <c r="B1072" s="5" t="s">
        <v>124</v>
      </c>
      <c r="C1072" s="10" t="s">
        <v>163</v>
      </c>
      <c r="D1072" s="10">
        <v>141</v>
      </c>
      <c r="E1072" s="27">
        <f>0.754</f>
        <v>0.754</v>
      </c>
    </row>
    <row r="1073" spans="1:5" ht="17">
      <c r="A1073" s="39" t="s">
        <v>963</v>
      </c>
      <c r="B1073" s="5" t="s">
        <v>124</v>
      </c>
      <c r="C1073" s="10" t="s">
        <v>163</v>
      </c>
      <c r="D1073" s="10">
        <v>142</v>
      </c>
      <c r="E1073" s="27">
        <f>0.94</f>
        <v>0.94</v>
      </c>
    </row>
    <row r="1074" spans="1:5" ht="17">
      <c r="A1074" s="39" t="s">
        <v>963</v>
      </c>
      <c r="B1074" s="5" t="s">
        <v>124</v>
      </c>
      <c r="C1074" s="10" t="s">
        <v>163</v>
      </c>
      <c r="D1074" s="10">
        <v>152</v>
      </c>
      <c r="E1074" s="27">
        <f>0.966</f>
        <v>0.96599999999999997</v>
      </c>
    </row>
    <row r="1075" spans="1:5" ht="17">
      <c r="A1075" s="39" t="s">
        <v>963</v>
      </c>
      <c r="B1075" s="5" t="s">
        <v>534</v>
      </c>
      <c r="C1075" s="10" t="s">
        <v>163</v>
      </c>
      <c r="D1075" s="10">
        <v>232</v>
      </c>
      <c r="E1075" s="27">
        <f>3.416</f>
        <v>3.4159999999999999</v>
      </c>
    </row>
    <row r="1076" spans="1:5" ht="17">
      <c r="A1076" s="39" t="s">
        <v>963</v>
      </c>
      <c r="B1076" s="5" t="s">
        <v>534</v>
      </c>
      <c r="C1076" s="10" t="s">
        <v>163</v>
      </c>
      <c r="D1076" s="10">
        <v>232</v>
      </c>
      <c r="E1076" s="27">
        <f>7.234</f>
        <v>7.234</v>
      </c>
    </row>
    <row r="1077" spans="1:5" ht="17">
      <c r="A1077" s="39" t="s">
        <v>963</v>
      </c>
      <c r="B1077" s="5" t="s">
        <v>534</v>
      </c>
      <c r="C1077" s="10" t="s">
        <v>163</v>
      </c>
      <c r="D1077" s="10">
        <v>252</v>
      </c>
      <c r="E1077" s="27">
        <f>4.682</f>
        <v>4.6820000000000004</v>
      </c>
    </row>
    <row r="1078" spans="1:5" ht="17">
      <c r="A1078" s="39" t="s">
        <v>963</v>
      </c>
      <c r="B1078" s="12" t="s">
        <v>124</v>
      </c>
      <c r="C1078" s="10" t="s">
        <v>163</v>
      </c>
      <c r="D1078" s="22">
        <v>262</v>
      </c>
      <c r="E1078" s="27">
        <f>1.833-1.716</f>
        <v>0.11699999999999999</v>
      </c>
    </row>
    <row r="1079" spans="1:5" ht="17">
      <c r="A1079" s="39" t="s">
        <v>963</v>
      </c>
      <c r="B1079" s="12" t="s">
        <v>124</v>
      </c>
      <c r="C1079" s="10" t="s">
        <v>163</v>
      </c>
      <c r="D1079" s="22">
        <v>262</v>
      </c>
      <c r="E1079" s="27">
        <f>9.542-7.542</f>
        <v>2</v>
      </c>
    </row>
    <row r="1080" spans="1:5" ht="17">
      <c r="A1080" s="39" t="s">
        <v>963</v>
      </c>
      <c r="B1080" s="12" t="s">
        <v>124</v>
      </c>
      <c r="C1080" s="10" t="s">
        <v>163</v>
      </c>
      <c r="D1080" s="22">
        <v>272</v>
      </c>
      <c r="E1080" s="27">
        <f>6.75-4.75</f>
        <v>2</v>
      </c>
    </row>
    <row r="1081" spans="1:5" ht="17">
      <c r="A1081" s="39" t="s">
        <v>963</v>
      </c>
      <c r="B1081" s="5" t="s">
        <v>124</v>
      </c>
      <c r="C1081" s="10" t="s">
        <v>163</v>
      </c>
      <c r="D1081" s="10">
        <v>303</v>
      </c>
      <c r="E1081" s="27">
        <f>12.592-10</f>
        <v>2.5920000000000005</v>
      </c>
    </row>
    <row r="1082" spans="1:5" ht="17">
      <c r="A1082" s="39" t="s">
        <v>963</v>
      </c>
      <c r="B1082" s="5" t="s">
        <v>124</v>
      </c>
      <c r="C1082" s="10" t="s">
        <v>163</v>
      </c>
      <c r="D1082" s="10">
        <v>323</v>
      </c>
      <c r="E1082" s="27">
        <f>3.346</f>
        <v>3.3460000000000001</v>
      </c>
    </row>
    <row r="1083" spans="1:5" ht="17">
      <c r="A1083" s="39" t="s">
        <v>963</v>
      </c>
      <c r="B1083" s="5" t="s">
        <v>534</v>
      </c>
      <c r="C1083" s="10" t="s">
        <v>163</v>
      </c>
      <c r="D1083" s="10">
        <v>352</v>
      </c>
      <c r="E1083" s="27">
        <f>4.936</f>
        <v>4.9359999999999999</v>
      </c>
    </row>
    <row r="1084" spans="1:5" ht="17">
      <c r="A1084" s="39" t="s">
        <v>963</v>
      </c>
      <c r="B1084" s="5" t="s">
        <v>534</v>
      </c>
      <c r="C1084" s="10" t="s">
        <v>163</v>
      </c>
      <c r="D1084" s="10">
        <v>383</v>
      </c>
      <c r="E1084" s="27">
        <f>2.686-(0.258)</f>
        <v>2.4279999999999999</v>
      </c>
    </row>
    <row r="1085" spans="1:5" ht="17">
      <c r="A1085" s="39" t="s">
        <v>963</v>
      </c>
      <c r="B1085" s="12" t="s">
        <v>534</v>
      </c>
      <c r="C1085" s="10" t="s">
        <v>163</v>
      </c>
      <c r="D1085" s="22">
        <v>453</v>
      </c>
      <c r="E1085" s="27">
        <f>10.186-2.014</f>
        <v>8.1720000000000006</v>
      </c>
    </row>
    <row r="1086" spans="1:5" ht="17">
      <c r="A1086" s="39" t="s">
        <v>963</v>
      </c>
      <c r="B1086" s="12" t="s">
        <v>124</v>
      </c>
      <c r="C1086" s="10" t="s">
        <v>163</v>
      </c>
      <c r="D1086" s="22">
        <v>463</v>
      </c>
      <c r="E1086" s="27">
        <f>5.096-3.024</f>
        <v>2.0720000000000001</v>
      </c>
    </row>
    <row r="1087" spans="1:5" ht="17">
      <c r="A1087" s="39" t="s">
        <v>963</v>
      </c>
      <c r="B1087" s="5" t="s">
        <v>124</v>
      </c>
      <c r="C1087" s="10" t="s">
        <v>163</v>
      </c>
      <c r="D1087" s="10">
        <v>612</v>
      </c>
      <c r="E1087" s="27">
        <f>6.47-3</f>
        <v>3.4699999999999998</v>
      </c>
    </row>
    <row r="1088" spans="1:5" ht="17">
      <c r="A1088" s="39" t="s">
        <v>963</v>
      </c>
      <c r="B1088" s="5" t="s">
        <v>124</v>
      </c>
      <c r="C1088" s="10" t="s">
        <v>163</v>
      </c>
      <c r="D1088" s="10">
        <v>653</v>
      </c>
      <c r="E1088" s="27">
        <f>6.66-3</f>
        <v>3.66</v>
      </c>
    </row>
    <row r="1089" spans="1:5" ht="17">
      <c r="A1089" s="39" t="s">
        <v>963</v>
      </c>
      <c r="B1089" s="5" t="s">
        <v>124</v>
      </c>
      <c r="C1089" s="16" t="s">
        <v>197</v>
      </c>
      <c r="D1089" s="10" t="s">
        <v>134</v>
      </c>
      <c r="E1089" s="27">
        <f>2.683-0.667</f>
        <v>2.016</v>
      </c>
    </row>
    <row r="1090" spans="1:5" ht="17">
      <c r="A1090" s="39" t="s">
        <v>963</v>
      </c>
      <c r="B1090" s="5" t="s">
        <v>124</v>
      </c>
      <c r="C1090" s="10" t="s">
        <v>163</v>
      </c>
      <c r="D1090" s="10" t="s">
        <v>172</v>
      </c>
      <c r="E1090" s="27">
        <f>1.382-0.622-0.266-0.188</f>
        <v>0.30599999999999988</v>
      </c>
    </row>
    <row r="1091" spans="1:5" ht="17">
      <c r="A1091" s="39" t="s">
        <v>963</v>
      </c>
      <c r="B1091" s="5" t="s">
        <v>781</v>
      </c>
      <c r="C1091" s="1" t="s">
        <v>155</v>
      </c>
      <c r="D1091" s="10" t="s">
        <v>782</v>
      </c>
      <c r="E1091" s="27">
        <f>1.989</f>
        <v>1.9890000000000001</v>
      </c>
    </row>
    <row r="1092" spans="1:5" ht="17">
      <c r="A1092" s="39" t="s">
        <v>963</v>
      </c>
      <c r="B1092" s="5" t="s">
        <v>781</v>
      </c>
      <c r="C1092" s="1" t="s">
        <v>155</v>
      </c>
      <c r="D1092" s="10" t="s">
        <v>783</v>
      </c>
      <c r="E1092" s="27">
        <f>1.734</f>
        <v>1.734</v>
      </c>
    </row>
    <row r="1093" spans="1:5" ht="17">
      <c r="A1093" s="39" t="s">
        <v>963</v>
      </c>
      <c r="B1093" s="5" t="s">
        <v>781</v>
      </c>
      <c r="C1093" s="1" t="s">
        <v>155</v>
      </c>
      <c r="D1093" s="10" t="s">
        <v>784</v>
      </c>
      <c r="E1093" s="27">
        <f>4.978</f>
        <v>4.9779999999999998</v>
      </c>
    </row>
    <row r="1094" spans="1:5" ht="17">
      <c r="A1094" s="39" t="s">
        <v>963</v>
      </c>
      <c r="B1094" s="5" t="s">
        <v>160</v>
      </c>
      <c r="C1094" s="16" t="s">
        <v>155</v>
      </c>
      <c r="D1094" s="10">
        <v>70</v>
      </c>
      <c r="E1094" s="27">
        <f>1.772</f>
        <v>1.772</v>
      </c>
    </row>
    <row r="1095" spans="1:5" ht="17">
      <c r="A1095" s="39" t="s">
        <v>963</v>
      </c>
      <c r="B1095" s="5" t="s">
        <v>190</v>
      </c>
      <c r="C1095" s="16" t="s">
        <v>155</v>
      </c>
      <c r="D1095" s="10">
        <v>100</v>
      </c>
      <c r="E1095" s="27">
        <f>3.186-0.537-0.543-0.4-0.48</f>
        <v>1.226</v>
      </c>
    </row>
    <row r="1096" spans="1:5" ht="17">
      <c r="A1096" s="39" t="s">
        <v>963</v>
      </c>
      <c r="B1096" s="5" t="s">
        <v>160</v>
      </c>
      <c r="C1096" s="16" t="s">
        <v>155</v>
      </c>
      <c r="D1096" s="10">
        <v>210</v>
      </c>
      <c r="E1096" s="27">
        <f>3.308</f>
        <v>3.3079999999999998</v>
      </c>
    </row>
    <row r="1097" spans="1:5" ht="17">
      <c r="A1097" s="39" t="s">
        <v>963</v>
      </c>
      <c r="B1097" s="5" t="s">
        <v>160</v>
      </c>
      <c r="C1097" s="16" t="s">
        <v>155</v>
      </c>
      <c r="D1097" s="10">
        <v>220</v>
      </c>
      <c r="E1097" s="27">
        <f>3.308-0.606-1.67</f>
        <v>1.032</v>
      </c>
    </row>
    <row r="1098" spans="1:5" ht="17">
      <c r="A1098" s="39" t="s">
        <v>963</v>
      </c>
      <c r="B1098" s="5" t="s">
        <v>160</v>
      </c>
      <c r="C1098" s="16" t="s">
        <v>155</v>
      </c>
      <c r="D1098" s="10">
        <v>230</v>
      </c>
      <c r="E1098" s="27">
        <f>2.931</f>
        <v>2.931</v>
      </c>
    </row>
    <row r="1099" spans="1:5" ht="17">
      <c r="A1099" s="39" t="s">
        <v>963</v>
      </c>
      <c r="B1099" s="5" t="s">
        <v>160</v>
      </c>
      <c r="C1099" s="16" t="s">
        <v>155</v>
      </c>
      <c r="D1099" s="10">
        <v>650</v>
      </c>
      <c r="E1099" s="27">
        <f>10.576-5.462</f>
        <v>5.1140000000000008</v>
      </c>
    </row>
    <row r="1100" spans="1:5" ht="17">
      <c r="A1100" s="39" t="s">
        <v>963</v>
      </c>
      <c r="B1100" s="5" t="s">
        <v>190</v>
      </c>
      <c r="C1100" s="16" t="s">
        <v>155</v>
      </c>
      <c r="D1100" s="10" t="s">
        <v>172</v>
      </c>
      <c r="E1100" s="27">
        <f>2.237</f>
        <v>2.2370000000000001</v>
      </c>
    </row>
    <row r="1101" spans="1:5" ht="17">
      <c r="A1101" s="39" t="s">
        <v>963</v>
      </c>
      <c r="B1101" s="5" t="s">
        <v>190</v>
      </c>
      <c r="C1101" s="16" t="s">
        <v>155</v>
      </c>
      <c r="D1101" s="10" t="s">
        <v>127</v>
      </c>
      <c r="E1101" s="27">
        <f>2.211</f>
        <v>2.2109999999999999</v>
      </c>
    </row>
    <row r="1102" spans="1:5" ht="17">
      <c r="A1102" s="39" t="s">
        <v>963</v>
      </c>
      <c r="B1102" s="5" t="s">
        <v>190</v>
      </c>
      <c r="C1102" s="16" t="s">
        <v>155</v>
      </c>
      <c r="D1102" s="10" t="s">
        <v>183</v>
      </c>
      <c r="E1102" s="27">
        <f>2.667-0.325</f>
        <v>2.3419999999999996</v>
      </c>
    </row>
    <row r="1103" spans="1:5" ht="17">
      <c r="A1103" s="39" t="s">
        <v>963</v>
      </c>
      <c r="B1103" s="5" t="s">
        <v>160</v>
      </c>
      <c r="C1103" s="16" t="s">
        <v>155</v>
      </c>
      <c r="D1103" s="10" t="s">
        <v>399</v>
      </c>
      <c r="E1103" s="27">
        <f>2.636</f>
        <v>2.6360000000000001</v>
      </c>
    </row>
    <row r="1104" spans="1:5" ht="17">
      <c r="A1104" s="39" t="s">
        <v>963</v>
      </c>
      <c r="B1104" s="5" t="s">
        <v>160</v>
      </c>
      <c r="C1104" s="16" t="s">
        <v>155</v>
      </c>
      <c r="D1104" s="10" t="s">
        <v>178</v>
      </c>
      <c r="E1104" s="27">
        <f>2.654</f>
        <v>2.6539999999999999</v>
      </c>
    </row>
    <row r="1105" spans="1:5" ht="17">
      <c r="A1105" s="39" t="s">
        <v>963</v>
      </c>
      <c r="B1105" s="5" t="s">
        <v>190</v>
      </c>
      <c r="C1105" s="16" t="s">
        <v>155</v>
      </c>
      <c r="D1105" s="10" t="s">
        <v>250</v>
      </c>
      <c r="E1105" s="27">
        <f>1.808-1.002-0.462-0.15</f>
        <v>0.19400000000000003</v>
      </c>
    </row>
    <row r="1106" spans="1:5" ht="17">
      <c r="A1106" s="39" t="s">
        <v>963</v>
      </c>
      <c r="B1106" s="5" t="s">
        <v>190</v>
      </c>
      <c r="C1106" s="16" t="s">
        <v>155</v>
      </c>
      <c r="D1106" s="10" t="s">
        <v>321</v>
      </c>
      <c r="E1106" s="27">
        <f>1.038-0.44-0.492-(0.028)</f>
        <v>7.8000000000000097E-2</v>
      </c>
    </row>
    <row r="1107" spans="1:5" ht="30">
      <c r="A1107" s="39" t="s">
        <v>963</v>
      </c>
      <c r="B1107" s="16" t="s">
        <v>105</v>
      </c>
      <c r="C1107" s="16" t="s">
        <v>843</v>
      </c>
      <c r="D1107" s="16" t="s">
        <v>596</v>
      </c>
      <c r="E1107" s="25">
        <f>0.22</f>
        <v>0.22</v>
      </c>
    </row>
    <row r="1108" spans="1:5" ht="17">
      <c r="A1108" s="39" t="s">
        <v>963</v>
      </c>
      <c r="B1108" s="16" t="s">
        <v>105</v>
      </c>
      <c r="C1108" s="16" t="s">
        <v>155</v>
      </c>
      <c r="D1108" s="16" t="s">
        <v>176</v>
      </c>
      <c r="E1108" s="25">
        <f>2.098</f>
        <v>2.0979999999999999</v>
      </c>
    </row>
    <row r="1109" spans="1:5" ht="17">
      <c r="A1109" s="39" t="s">
        <v>963</v>
      </c>
      <c r="B1109" s="16" t="s">
        <v>105</v>
      </c>
      <c r="C1109" s="16" t="s">
        <v>155</v>
      </c>
      <c r="D1109" s="16" t="s">
        <v>127</v>
      </c>
      <c r="E1109" s="25">
        <f>2.97</f>
        <v>2.97</v>
      </c>
    </row>
    <row r="1110" spans="1:5" ht="17">
      <c r="A1110" s="39" t="s">
        <v>963</v>
      </c>
      <c r="B1110" s="16" t="s">
        <v>105</v>
      </c>
      <c r="C1110" s="16" t="s">
        <v>155</v>
      </c>
      <c r="D1110" s="16" t="s">
        <v>183</v>
      </c>
      <c r="E1110" s="25">
        <f>2.952</f>
        <v>2.952</v>
      </c>
    </row>
    <row r="1111" spans="1:5" ht="17">
      <c r="A1111" s="39" t="s">
        <v>963</v>
      </c>
      <c r="B1111" s="16" t="s">
        <v>105</v>
      </c>
      <c r="C1111" s="16" t="s">
        <v>155</v>
      </c>
      <c r="D1111" s="16" t="s">
        <v>128</v>
      </c>
      <c r="E1111" s="25">
        <f>1.9</f>
        <v>1.9</v>
      </c>
    </row>
    <row r="1112" spans="1:5" ht="17">
      <c r="A1112" s="39" t="s">
        <v>963</v>
      </c>
      <c r="B1112" s="16" t="s">
        <v>105</v>
      </c>
      <c r="C1112" s="16" t="s">
        <v>155</v>
      </c>
      <c r="D1112" s="16" t="s">
        <v>177</v>
      </c>
      <c r="E1112" s="25">
        <f>1.912</f>
        <v>1.9119999999999999</v>
      </c>
    </row>
    <row r="1113" spans="1:5" ht="17">
      <c r="A1113" s="39" t="s">
        <v>963</v>
      </c>
      <c r="B1113" s="16" t="s">
        <v>105</v>
      </c>
      <c r="C1113" s="16" t="s">
        <v>155</v>
      </c>
      <c r="D1113" s="16" t="s">
        <v>137</v>
      </c>
      <c r="E1113" s="25">
        <f>3.552</f>
        <v>3.552</v>
      </c>
    </row>
    <row r="1114" spans="1:5" ht="17">
      <c r="A1114" s="39" t="s">
        <v>963</v>
      </c>
      <c r="B1114" s="16" t="s">
        <v>105</v>
      </c>
      <c r="C1114" s="16" t="s">
        <v>155</v>
      </c>
      <c r="D1114" s="16" t="s">
        <v>129</v>
      </c>
      <c r="E1114" s="25">
        <f>2.47</f>
        <v>2.4700000000000002</v>
      </c>
    </row>
    <row r="1115" spans="1:5" ht="17">
      <c r="A1115" s="39" t="s">
        <v>963</v>
      </c>
      <c r="B1115" s="16" t="s">
        <v>105</v>
      </c>
      <c r="C1115" s="16" t="s">
        <v>155</v>
      </c>
      <c r="D1115" s="16" t="s">
        <v>130</v>
      </c>
      <c r="E1115" s="25">
        <f>2.894-0.604</f>
        <v>2.29</v>
      </c>
    </row>
    <row r="1116" spans="1:5" ht="17">
      <c r="A1116" s="39" t="s">
        <v>963</v>
      </c>
      <c r="B1116" s="16" t="s">
        <v>105</v>
      </c>
      <c r="C1116" s="16" t="s">
        <v>155</v>
      </c>
      <c r="D1116" s="16" t="s">
        <v>178</v>
      </c>
      <c r="E1116" s="25">
        <f>2.798-0.82</f>
        <v>1.9780000000000002</v>
      </c>
    </row>
    <row r="1117" spans="1:5" ht="17">
      <c r="A1117" s="39" t="s">
        <v>963</v>
      </c>
      <c r="B1117" s="16" t="s">
        <v>105</v>
      </c>
      <c r="C1117" s="16" t="s">
        <v>155</v>
      </c>
      <c r="D1117" s="16" t="s">
        <v>256</v>
      </c>
      <c r="E1117" s="25">
        <f>3.62</f>
        <v>3.62</v>
      </c>
    </row>
    <row r="1118" spans="1:5" ht="17">
      <c r="A1118" s="39" t="s">
        <v>963</v>
      </c>
      <c r="B1118" s="5" t="s">
        <v>169</v>
      </c>
      <c r="C1118" s="16" t="s">
        <v>181</v>
      </c>
      <c r="D1118" s="10">
        <v>30</v>
      </c>
      <c r="E1118" s="27">
        <f>0.255-0.021-0.022</f>
        <v>0.21200000000000002</v>
      </c>
    </row>
    <row r="1119" spans="1:5" ht="17">
      <c r="A1119" s="39" t="s">
        <v>963</v>
      </c>
      <c r="B1119" s="5" t="s">
        <v>169</v>
      </c>
      <c r="C1119" s="16" t="s">
        <v>197</v>
      </c>
      <c r="D1119" s="10" t="s">
        <v>133</v>
      </c>
      <c r="E1119" s="27">
        <f>3.858-0.226-0.646-0.056-0.016-0.232-0.028-0.06-0.11-0.014-0.16-0.058-0.014</f>
        <v>2.2380000000000004</v>
      </c>
    </row>
    <row r="1120" spans="1:5" ht="17">
      <c r="A1120" s="39" t="s">
        <v>963</v>
      </c>
      <c r="B1120" s="5" t="s">
        <v>169</v>
      </c>
      <c r="C1120" s="16" t="s">
        <v>197</v>
      </c>
      <c r="D1120" s="10" t="s">
        <v>170</v>
      </c>
      <c r="E1120" s="27">
        <f>2.456</f>
        <v>2.456</v>
      </c>
    </row>
    <row r="1121" spans="1:5" ht="17">
      <c r="A1121" s="39" t="s">
        <v>963</v>
      </c>
      <c r="B1121" s="5" t="s">
        <v>169</v>
      </c>
      <c r="C1121" s="16" t="s">
        <v>197</v>
      </c>
      <c r="D1121" s="10" t="s">
        <v>126</v>
      </c>
      <c r="E1121" s="27">
        <f>3.756-0.248-1.27</f>
        <v>2.238</v>
      </c>
    </row>
    <row r="1122" spans="1:5" ht="17">
      <c r="A1122" s="39" t="s">
        <v>963</v>
      </c>
      <c r="B1122" s="5" t="s">
        <v>169</v>
      </c>
      <c r="C1122" s="16" t="s">
        <v>197</v>
      </c>
      <c r="D1122" s="10" t="s">
        <v>154</v>
      </c>
      <c r="E1122" s="27">
        <f>1.254-0.628</f>
        <v>0.626</v>
      </c>
    </row>
    <row r="1123" spans="1:5" ht="17">
      <c r="A1123" s="39" t="s">
        <v>963</v>
      </c>
      <c r="B1123" s="5" t="s">
        <v>169</v>
      </c>
      <c r="C1123" s="16" t="s">
        <v>197</v>
      </c>
      <c r="D1123" s="10" t="s">
        <v>265</v>
      </c>
      <c r="E1123" s="27">
        <f>0.876-0.548-0.208-0.011-0.096-(0.003)</f>
        <v>9.9999999999999707E-3</v>
      </c>
    </row>
    <row r="1124" spans="1:5" ht="17">
      <c r="A1124" s="39" t="s">
        <v>963</v>
      </c>
      <c r="B1124" s="5" t="s">
        <v>169</v>
      </c>
      <c r="C1124" s="16" t="s">
        <v>155</v>
      </c>
      <c r="D1124" s="10" t="s">
        <v>171</v>
      </c>
      <c r="E1124" s="27">
        <f>2.142-0.235-0.235</f>
        <v>1.6720000000000002</v>
      </c>
    </row>
    <row r="1125" spans="1:5" ht="17">
      <c r="A1125" s="39" t="s">
        <v>963</v>
      </c>
      <c r="B1125" s="5" t="s">
        <v>169</v>
      </c>
      <c r="C1125" s="16" t="s">
        <v>155</v>
      </c>
      <c r="D1125" s="10" t="s">
        <v>312</v>
      </c>
      <c r="E1125" s="27">
        <f>4.956-2.1-1.258-0.094-0.346-0.2-0.78</f>
        <v>0.17800000000000038</v>
      </c>
    </row>
    <row r="1126" spans="1:5" ht="17">
      <c r="A1126" s="39" t="s">
        <v>963</v>
      </c>
      <c r="B1126" s="5" t="s">
        <v>169</v>
      </c>
      <c r="C1126" s="16" t="s">
        <v>565</v>
      </c>
      <c r="D1126" s="10" t="s">
        <v>172</v>
      </c>
      <c r="E1126" s="27">
        <f>1.062</f>
        <v>1.0620000000000001</v>
      </c>
    </row>
    <row r="1127" spans="1:5" ht="17">
      <c r="A1127" s="39" t="s">
        <v>963</v>
      </c>
      <c r="B1127" s="5" t="s">
        <v>169</v>
      </c>
      <c r="C1127" s="16" t="s">
        <v>565</v>
      </c>
      <c r="D1127" s="10" t="s">
        <v>173</v>
      </c>
      <c r="E1127" s="27">
        <f>3.422-0.39-0.132-0.068-0.224-0.19-0.06</f>
        <v>2.3579999999999997</v>
      </c>
    </row>
    <row r="1128" spans="1:5" ht="17">
      <c r="A1128" s="39" t="s">
        <v>963</v>
      </c>
      <c r="B1128" s="5" t="s">
        <v>169</v>
      </c>
      <c r="C1128" s="16" t="s">
        <v>565</v>
      </c>
      <c r="D1128" s="10" t="s">
        <v>173</v>
      </c>
      <c r="E1128" s="27">
        <f>1.38</f>
        <v>1.38</v>
      </c>
    </row>
    <row r="1129" spans="1:5" ht="17">
      <c r="A1129" s="39" t="s">
        <v>963</v>
      </c>
      <c r="B1129" s="5" t="s">
        <v>169</v>
      </c>
      <c r="C1129" s="16" t="s">
        <v>565</v>
      </c>
      <c r="D1129" s="10" t="s">
        <v>798</v>
      </c>
      <c r="E1129" s="27">
        <f>2.234-1.484</f>
        <v>0.75</v>
      </c>
    </row>
    <row r="1130" spans="1:5" ht="17">
      <c r="A1130" s="39" t="s">
        <v>963</v>
      </c>
      <c r="B1130" s="5" t="s">
        <v>169</v>
      </c>
      <c r="C1130" s="16" t="s">
        <v>565</v>
      </c>
      <c r="D1130" s="10" t="s">
        <v>798</v>
      </c>
      <c r="E1130" s="27">
        <f>1.86</f>
        <v>1.86</v>
      </c>
    </row>
    <row r="1131" spans="1:5" ht="17">
      <c r="A1131" s="39" t="s">
        <v>963</v>
      </c>
      <c r="B1131" s="5" t="s">
        <v>169</v>
      </c>
      <c r="C1131" s="16" t="s">
        <v>197</v>
      </c>
      <c r="D1131" s="10" t="s">
        <v>127</v>
      </c>
      <c r="E1131" s="27">
        <f>6.384-2.258-0.334-1.816-0.516-0.576-0.252-0.228-0.08-0.14-0.048-0.021-0.013-(0.057)</f>
        <v>4.5000000000000227E-2</v>
      </c>
    </row>
    <row r="1132" spans="1:5" ht="17">
      <c r="A1132" s="39" t="s">
        <v>963</v>
      </c>
      <c r="B1132" s="5" t="s">
        <v>169</v>
      </c>
      <c r="C1132" s="16" t="s">
        <v>197</v>
      </c>
      <c r="D1132" s="10" t="s">
        <v>266</v>
      </c>
      <c r="E1132" s="27">
        <f>0.013</f>
        <v>1.2999999999999999E-2</v>
      </c>
    </row>
    <row r="1133" spans="1:5" ht="17">
      <c r="A1133" s="39" t="s">
        <v>963</v>
      </c>
      <c r="B1133" s="5" t="s">
        <v>169</v>
      </c>
      <c r="C1133" s="16" t="s">
        <v>197</v>
      </c>
      <c r="D1133" s="10" t="s">
        <v>262</v>
      </c>
      <c r="E1133" s="27">
        <f>0.376-0.098-0.12-0.076</f>
        <v>8.2000000000000031E-2</v>
      </c>
    </row>
    <row r="1134" spans="1:5" ht="17">
      <c r="A1134" s="39" t="s">
        <v>963</v>
      </c>
      <c r="B1134" s="5" t="s">
        <v>169</v>
      </c>
      <c r="C1134" s="16" t="s">
        <v>197</v>
      </c>
      <c r="D1134" s="10" t="s">
        <v>264</v>
      </c>
      <c r="E1134" s="27">
        <f>0.12</f>
        <v>0.12</v>
      </c>
    </row>
    <row r="1135" spans="1:5" ht="17">
      <c r="A1135" s="39" t="s">
        <v>963</v>
      </c>
      <c r="B1135" s="5" t="s">
        <v>169</v>
      </c>
      <c r="C1135" s="16" t="s">
        <v>197</v>
      </c>
      <c r="D1135" s="10" t="s">
        <v>263</v>
      </c>
      <c r="E1135" s="27">
        <f>0.007</f>
        <v>7.0000000000000001E-3</v>
      </c>
    </row>
    <row r="1136" spans="1:5" ht="17">
      <c r="A1136" s="39" t="s">
        <v>963</v>
      </c>
      <c r="B1136" s="5" t="s">
        <v>169</v>
      </c>
      <c r="C1136" s="16" t="s">
        <v>197</v>
      </c>
      <c r="D1136" s="10" t="s">
        <v>231</v>
      </c>
      <c r="E1136" s="27">
        <f>0.061</f>
        <v>6.0999999999999999E-2</v>
      </c>
    </row>
    <row r="1137" spans="1:5" ht="17">
      <c r="A1137" s="39" t="s">
        <v>963</v>
      </c>
      <c r="B1137" s="5" t="s">
        <v>169</v>
      </c>
      <c r="C1137" s="16" t="s">
        <v>155</v>
      </c>
      <c r="D1137" s="10" t="s">
        <v>127</v>
      </c>
      <c r="E1137" s="27">
        <f>5.651-1.39-0.814-0.264-0.034-0.966-0.124-0.25-0.02-0.24-0.056-0.148</f>
        <v>1.3449999999999998</v>
      </c>
    </row>
    <row r="1138" spans="1:5" ht="17">
      <c r="A1138" s="39" t="s">
        <v>963</v>
      </c>
      <c r="B1138" s="5" t="s">
        <v>169</v>
      </c>
      <c r="C1138" s="16" t="s">
        <v>565</v>
      </c>
      <c r="D1138" s="10" t="s">
        <v>127</v>
      </c>
      <c r="E1138" s="27">
        <f>2.237</f>
        <v>2.2370000000000001</v>
      </c>
    </row>
    <row r="1139" spans="1:5" ht="17">
      <c r="A1139" s="39" t="s">
        <v>963</v>
      </c>
      <c r="B1139" s="5" t="s">
        <v>169</v>
      </c>
      <c r="C1139" s="16" t="s">
        <v>565</v>
      </c>
      <c r="D1139" s="10" t="s">
        <v>127</v>
      </c>
      <c r="E1139" s="27">
        <f>1.462</f>
        <v>1.462</v>
      </c>
    </row>
    <row r="1140" spans="1:5" ht="17">
      <c r="A1140" s="39" t="s">
        <v>963</v>
      </c>
      <c r="B1140" s="5" t="s">
        <v>169</v>
      </c>
      <c r="C1140" s="16" t="s">
        <v>155</v>
      </c>
      <c r="D1140" s="10" t="s">
        <v>258</v>
      </c>
      <c r="E1140" s="27">
        <f>1.886-0.644-0.59-0.088</f>
        <v>0.56400000000000006</v>
      </c>
    </row>
    <row r="1141" spans="1:5" ht="17">
      <c r="A1141" s="39" t="s">
        <v>963</v>
      </c>
      <c r="B1141" s="5" t="s">
        <v>169</v>
      </c>
      <c r="C1141" s="16" t="s">
        <v>565</v>
      </c>
      <c r="D1141" s="10" t="s">
        <v>222</v>
      </c>
      <c r="E1141" s="27">
        <f>7.456</f>
        <v>7.4560000000000004</v>
      </c>
    </row>
    <row r="1142" spans="1:5" ht="17">
      <c r="A1142" s="39" t="s">
        <v>963</v>
      </c>
      <c r="B1142" s="5" t="s">
        <v>169</v>
      </c>
      <c r="C1142" s="16" t="s">
        <v>565</v>
      </c>
      <c r="D1142" s="10" t="s">
        <v>222</v>
      </c>
      <c r="E1142" s="27">
        <f>1.378</f>
        <v>1.3779999999999999</v>
      </c>
    </row>
    <row r="1143" spans="1:5" ht="17">
      <c r="A1143" s="39" t="s">
        <v>963</v>
      </c>
      <c r="B1143" s="5" t="s">
        <v>169</v>
      </c>
      <c r="C1143" s="16" t="s">
        <v>565</v>
      </c>
      <c r="D1143" s="10" t="s">
        <v>222</v>
      </c>
      <c r="E1143" s="27">
        <f>1.153</f>
        <v>1.153</v>
      </c>
    </row>
    <row r="1144" spans="1:5" ht="17">
      <c r="A1144" s="39" t="s">
        <v>963</v>
      </c>
      <c r="B1144" s="5" t="s">
        <v>169</v>
      </c>
      <c r="C1144" s="16" t="s">
        <v>197</v>
      </c>
      <c r="D1144" s="10" t="s">
        <v>228</v>
      </c>
      <c r="E1144" s="27">
        <f>0.184</f>
        <v>0.184</v>
      </c>
    </row>
    <row r="1145" spans="1:5" ht="17">
      <c r="A1145" s="39" t="s">
        <v>963</v>
      </c>
      <c r="B1145" s="5" t="s">
        <v>169</v>
      </c>
      <c r="C1145" s="16" t="s">
        <v>565</v>
      </c>
      <c r="D1145" s="10" t="s">
        <v>780</v>
      </c>
      <c r="E1145" s="27">
        <f>2.258</f>
        <v>2.258</v>
      </c>
    </row>
    <row r="1146" spans="1:5" ht="17">
      <c r="A1146" s="39" t="s">
        <v>963</v>
      </c>
      <c r="B1146" s="5" t="s">
        <v>169</v>
      </c>
      <c r="C1146" s="16" t="s">
        <v>565</v>
      </c>
      <c r="D1146" s="10" t="s">
        <v>780</v>
      </c>
      <c r="E1146" s="27">
        <f>2.848</f>
        <v>2.8479999999999999</v>
      </c>
    </row>
    <row r="1147" spans="1:5" ht="17">
      <c r="A1147" s="39" t="s">
        <v>963</v>
      </c>
      <c r="B1147" s="5" t="s">
        <v>169</v>
      </c>
      <c r="C1147" s="16" t="s">
        <v>155</v>
      </c>
      <c r="D1147" s="10" t="s">
        <v>183</v>
      </c>
      <c r="E1147" s="27">
        <f>1.738-0.414-0.528-0.192-0.222</f>
        <v>0.38200000000000012</v>
      </c>
    </row>
    <row r="1148" spans="1:5" ht="17">
      <c r="A1148" s="39" t="s">
        <v>963</v>
      </c>
      <c r="B1148" s="5" t="s">
        <v>169</v>
      </c>
      <c r="C1148" s="16" t="s">
        <v>155</v>
      </c>
      <c r="D1148" s="10" t="s">
        <v>183</v>
      </c>
      <c r="E1148" s="27">
        <f>5.884-2.924-1.476-0.624-0.078</f>
        <v>0.78200000000000047</v>
      </c>
    </row>
    <row r="1149" spans="1:5" ht="17">
      <c r="A1149" s="39" t="s">
        <v>963</v>
      </c>
      <c r="B1149" s="5" t="s">
        <v>169</v>
      </c>
      <c r="C1149" s="16" t="s">
        <v>565</v>
      </c>
      <c r="D1149" s="10" t="s">
        <v>183</v>
      </c>
      <c r="E1149" s="27">
        <f>2.187-0.544</f>
        <v>1.6429999999999998</v>
      </c>
    </row>
    <row r="1150" spans="1:5" ht="17">
      <c r="A1150" s="39" t="s">
        <v>963</v>
      </c>
      <c r="B1150" s="5" t="s">
        <v>169</v>
      </c>
      <c r="C1150" s="16" t="s">
        <v>565</v>
      </c>
      <c r="D1150" s="10" t="s">
        <v>183</v>
      </c>
      <c r="E1150" s="27">
        <f>2.89</f>
        <v>2.89</v>
      </c>
    </row>
    <row r="1151" spans="1:5" ht="17">
      <c r="A1151" s="39" t="s">
        <v>963</v>
      </c>
      <c r="B1151" s="5" t="s">
        <v>169</v>
      </c>
      <c r="C1151" s="16" t="s">
        <v>197</v>
      </c>
      <c r="D1151" s="10" t="s">
        <v>232</v>
      </c>
      <c r="E1151" s="27">
        <f>0.094</f>
        <v>9.4E-2</v>
      </c>
    </row>
    <row r="1152" spans="1:5" ht="17">
      <c r="A1152" s="39" t="s">
        <v>963</v>
      </c>
      <c r="B1152" s="5" t="s">
        <v>169</v>
      </c>
      <c r="C1152" s="16" t="s">
        <v>565</v>
      </c>
      <c r="D1152" s="10" t="s">
        <v>599</v>
      </c>
      <c r="E1152" s="27">
        <f>2.864</f>
        <v>2.8639999999999999</v>
      </c>
    </row>
    <row r="1153" spans="1:5" ht="17">
      <c r="A1153" s="39" t="s">
        <v>963</v>
      </c>
      <c r="B1153" s="5" t="s">
        <v>169</v>
      </c>
      <c r="C1153" s="16" t="s">
        <v>565</v>
      </c>
      <c r="D1153" s="10" t="s">
        <v>799</v>
      </c>
      <c r="E1153" s="27">
        <f>2.648</f>
        <v>2.6480000000000001</v>
      </c>
    </row>
    <row r="1154" spans="1:5" ht="17">
      <c r="A1154" s="39" t="s">
        <v>963</v>
      </c>
      <c r="B1154" s="5" t="s">
        <v>169</v>
      </c>
      <c r="C1154" s="16" t="s">
        <v>565</v>
      </c>
      <c r="D1154" s="10" t="s">
        <v>184</v>
      </c>
      <c r="E1154" s="27">
        <f>2.935</f>
        <v>2.9350000000000001</v>
      </c>
    </row>
    <row r="1155" spans="1:5" ht="17">
      <c r="A1155" s="39" t="s">
        <v>963</v>
      </c>
      <c r="B1155" s="5" t="s">
        <v>169</v>
      </c>
      <c r="C1155" s="16" t="s">
        <v>565</v>
      </c>
      <c r="D1155" s="10" t="s">
        <v>184</v>
      </c>
      <c r="E1155" s="27">
        <f>2.868</f>
        <v>2.8679999999999999</v>
      </c>
    </row>
    <row r="1156" spans="1:5" ht="17">
      <c r="A1156" s="39" t="s">
        <v>963</v>
      </c>
      <c r="B1156" s="5" t="s">
        <v>169</v>
      </c>
      <c r="C1156" s="16" t="s">
        <v>565</v>
      </c>
      <c r="D1156" s="10" t="s">
        <v>128</v>
      </c>
      <c r="E1156" s="27">
        <f>5.931-1.448-0.166-0.124-2.31-0.66-0.7</f>
        <v>0.52300000000000035</v>
      </c>
    </row>
    <row r="1157" spans="1:5" ht="17">
      <c r="A1157" s="39" t="s">
        <v>963</v>
      </c>
      <c r="B1157" s="5" t="s">
        <v>169</v>
      </c>
      <c r="C1157" s="16" t="s">
        <v>565</v>
      </c>
      <c r="D1157" s="10" t="s">
        <v>128</v>
      </c>
      <c r="E1157" s="27">
        <f>3.133</f>
        <v>3.133</v>
      </c>
    </row>
    <row r="1158" spans="1:5" ht="17">
      <c r="A1158" s="39" t="s">
        <v>963</v>
      </c>
      <c r="B1158" s="5" t="s">
        <v>169</v>
      </c>
      <c r="C1158" s="16" t="s">
        <v>565</v>
      </c>
      <c r="D1158" s="10" t="s">
        <v>128</v>
      </c>
      <c r="E1158" s="27">
        <v>1.4239999999999999</v>
      </c>
    </row>
    <row r="1159" spans="1:5" ht="17">
      <c r="A1159" s="39" t="s">
        <v>963</v>
      </c>
      <c r="B1159" s="5" t="s">
        <v>169</v>
      </c>
      <c r="C1159" s="16" t="s">
        <v>565</v>
      </c>
      <c r="D1159" s="10" t="s">
        <v>128</v>
      </c>
      <c r="E1159" s="27">
        <f>1.616</f>
        <v>1.6160000000000001</v>
      </c>
    </row>
    <row r="1160" spans="1:5" ht="17">
      <c r="A1160" s="39" t="s">
        <v>963</v>
      </c>
      <c r="B1160" s="5" t="s">
        <v>169</v>
      </c>
      <c r="C1160" s="16" t="s">
        <v>155</v>
      </c>
      <c r="D1160" s="10" t="s">
        <v>608</v>
      </c>
      <c r="E1160" s="27">
        <f>5.628-4.114-0.326</f>
        <v>1.1880000000000002</v>
      </c>
    </row>
    <row r="1161" spans="1:5" ht="17">
      <c r="A1161" s="39" t="s">
        <v>963</v>
      </c>
      <c r="B1161" s="5" t="s">
        <v>169</v>
      </c>
      <c r="C1161" s="16" t="s">
        <v>565</v>
      </c>
      <c r="D1161" s="10" t="s">
        <v>213</v>
      </c>
      <c r="E1161" s="27">
        <f>3.698-1.056-0.324-0.442-0.104</f>
        <v>1.772</v>
      </c>
    </row>
    <row r="1162" spans="1:5" ht="17">
      <c r="A1162" s="39" t="s">
        <v>963</v>
      </c>
      <c r="B1162" s="5" t="s">
        <v>169</v>
      </c>
      <c r="C1162" s="16" t="s">
        <v>565</v>
      </c>
      <c r="D1162" s="10" t="s">
        <v>213</v>
      </c>
      <c r="E1162" s="27">
        <f>1.354</f>
        <v>1.3540000000000001</v>
      </c>
    </row>
    <row r="1163" spans="1:5" ht="17">
      <c r="A1163" s="39" t="s">
        <v>963</v>
      </c>
      <c r="B1163" s="5" t="s">
        <v>169</v>
      </c>
      <c r="C1163" s="16" t="s">
        <v>565</v>
      </c>
      <c r="D1163" s="10" t="s">
        <v>177</v>
      </c>
      <c r="E1163" s="27">
        <f>4.75</f>
        <v>4.75</v>
      </c>
    </row>
    <row r="1164" spans="1:5" ht="17">
      <c r="A1164" s="39" t="s">
        <v>963</v>
      </c>
      <c r="B1164" s="5" t="s">
        <v>169</v>
      </c>
      <c r="C1164" s="16" t="s">
        <v>565</v>
      </c>
      <c r="D1164" s="10" t="s">
        <v>137</v>
      </c>
      <c r="E1164" s="27">
        <f>3.995-0.57-0.086-2</f>
        <v>1.3390000000000004</v>
      </c>
    </row>
    <row r="1165" spans="1:5" ht="17">
      <c r="A1165" s="39" t="s">
        <v>963</v>
      </c>
      <c r="B1165" s="5" t="s">
        <v>169</v>
      </c>
      <c r="C1165" s="16" t="s">
        <v>155</v>
      </c>
      <c r="D1165" s="10" t="s">
        <v>558</v>
      </c>
      <c r="E1165" s="27">
        <f>3.33-1.116</f>
        <v>2.214</v>
      </c>
    </row>
    <row r="1166" spans="1:5" ht="17">
      <c r="A1166" s="39" t="s">
        <v>963</v>
      </c>
      <c r="B1166" s="5" t="s">
        <v>169</v>
      </c>
      <c r="C1166" s="16" t="s">
        <v>565</v>
      </c>
      <c r="D1166" s="10" t="s">
        <v>558</v>
      </c>
      <c r="E1166" s="27">
        <f>3.046</f>
        <v>3.0459999999999998</v>
      </c>
    </row>
    <row r="1167" spans="1:5" ht="17">
      <c r="A1167" s="39" t="s">
        <v>963</v>
      </c>
      <c r="B1167" s="1" t="s">
        <v>169</v>
      </c>
      <c r="C1167" s="16" t="s">
        <v>259</v>
      </c>
      <c r="D1167" s="7" t="s">
        <v>297</v>
      </c>
      <c r="E1167" s="28">
        <f>1.746-0.928-0.718</f>
        <v>9.9999999999999978E-2</v>
      </c>
    </row>
    <row r="1168" spans="1:5" ht="17">
      <c r="A1168" s="39" t="s">
        <v>963</v>
      </c>
      <c r="B1168" s="1" t="s">
        <v>785</v>
      </c>
      <c r="C1168" s="16" t="s">
        <v>535</v>
      </c>
      <c r="D1168" s="7" t="s">
        <v>817</v>
      </c>
      <c r="E1168" s="28">
        <f>1.796-0.894</f>
        <v>0.90200000000000002</v>
      </c>
    </row>
    <row r="1169" spans="1:5" ht="17">
      <c r="A1169" s="39" t="s">
        <v>963</v>
      </c>
      <c r="B1169" s="1" t="s">
        <v>785</v>
      </c>
      <c r="C1169" s="16" t="s">
        <v>535</v>
      </c>
      <c r="D1169" s="7" t="s">
        <v>818</v>
      </c>
      <c r="E1169" s="28">
        <f>2.698-0.922-0.906</f>
        <v>0.86999999999999977</v>
      </c>
    </row>
    <row r="1170" spans="1:5" ht="17">
      <c r="A1170" s="39" t="s">
        <v>963</v>
      </c>
      <c r="B1170" s="1" t="s">
        <v>785</v>
      </c>
      <c r="C1170" s="16" t="s">
        <v>535</v>
      </c>
      <c r="D1170" s="7" t="s">
        <v>813</v>
      </c>
      <c r="E1170" s="28">
        <f>2.702-0.5-0.408-0.904</f>
        <v>0.89</v>
      </c>
    </row>
    <row r="1171" spans="1:5" ht="17">
      <c r="A1171" s="39" t="s">
        <v>963</v>
      </c>
      <c r="B1171" s="1" t="s">
        <v>785</v>
      </c>
      <c r="C1171" s="16" t="s">
        <v>535</v>
      </c>
      <c r="D1171" s="7" t="s">
        <v>813</v>
      </c>
      <c r="E1171" s="28">
        <f>0.904-0.644-(0.006)</f>
        <v>0.254</v>
      </c>
    </row>
    <row r="1172" spans="1:5" ht="17">
      <c r="A1172" s="39" t="s">
        <v>963</v>
      </c>
      <c r="B1172" s="1" t="s">
        <v>785</v>
      </c>
      <c r="C1172" s="16" t="s">
        <v>535</v>
      </c>
      <c r="D1172" s="7" t="s">
        <v>814</v>
      </c>
      <c r="E1172" s="28">
        <f>1.864-0.131-0.771-(0.016)</f>
        <v>0.94600000000000006</v>
      </c>
    </row>
    <row r="1173" spans="1:5" ht="17">
      <c r="A1173" s="39" t="s">
        <v>963</v>
      </c>
      <c r="B1173" s="1" t="s">
        <v>785</v>
      </c>
      <c r="C1173" s="16" t="s">
        <v>535</v>
      </c>
      <c r="D1173" s="7" t="s">
        <v>815</v>
      </c>
      <c r="E1173" s="28">
        <f>2.57-0.98-0.978-(0.012)</f>
        <v>0.59999999999999987</v>
      </c>
    </row>
    <row r="1174" spans="1:5" ht="17">
      <c r="A1174" s="39" t="s">
        <v>963</v>
      </c>
      <c r="B1174" s="1" t="s">
        <v>785</v>
      </c>
      <c r="C1174" s="16" t="s">
        <v>535</v>
      </c>
      <c r="D1174" s="7" t="s">
        <v>816</v>
      </c>
      <c r="E1174" s="28">
        <f>2.558-1.06-0.08-(0.006)</f>
        <v>1.4119999999999997</v>
      </c>
    </row>
    <row r="1175" spans="1:5" ht="17">
      <c r="A1175" s="39" t="s">
        <v>963</v>
      </c>
      <c r="B1175" s="5" t="s">
        <v>55</v>
      </c>
      <c r="C1175" s="16" t="s">
        <v>278</v>
      </c>
      <c r="D1175" s="10">
        <v>16</v>
      </c>
      <c r="E1175" s="27">
        <f>1.168-0.016-0.06-0.018-0.014-0.036-0.2-0.187-0.042-0.104-0.016-0.238-0.095-0.06</f>
        <v>8.1999999999999768E-2</v>
      </c>
    </row>
    <row r="1176" spans="1:5" ht="17">
      <c r="A1176" s="39" t="s">
        <v>963</v>
      </c>
      <c r="B1176" s="5" t="s">
        <v>55</v>
      </c>
      <c r="C1176" s="16" t="s">
        <v>278</v>
      </c>
      <c r="D1176" s="10">
        <v>16</v>
      </c>
      <c r="E1176" s="27">
        <f>2.288-0.404-0.384-0.15</f>
        <v>1.35</v>
      </c>
    </row>
    <row r="1177" spans="1:5" ht="17">
      <c r="A1177" s="39" t="s">
        <v>963</v>
      </c>
      <c r="B1177" s="5" t="s">
        <v>55</v>
      </c>
      <c r="C1177" s="16" t="s">
        <v>278</v>
      </c>
      <c r="D1177" s="10">
        <v>20</v>
      </c>
      <c r="E1177" s="27">
        <f>1.908-0.152-0.196-0.398-0.015-0.096-0.294-0.264-0.07-0.087-0.053-0.022-0.029</f>
        <v>0.23199999999999985</v>
      </c>
    </row>
    <row r="1178" spans="1:5" ht="17">
      <c r="A1178" s="39" t="s">
        <v>963</v>
      </c>
      <c r="B1178" s="5" t="s">
        <v>55</v>
      </c>
      <c r="C1178" s="16" t="s">
        <v>278</v>
      </c>
      <c r="D1178" s="10">
        <v>25</v>
      </c>
      <c r="E1178" s="27">
        <f>1.204-0.024-0.184-0.047-0.061-0.09-0.06-0.081-0.396-0.023-0.054-0.11-0.023</f>
        <v>5.1000000000000024E-2</v>
      </c>
    </row>
    <row r="1179" spans="1:5" ht="17">
      <c r="A1179" s="39" t="s">
        <v>963</v>
      </c>
      <c r="B1179" s="5" t="s">
        <v>55</v>
      </c>
      <c r="C1179" s="16" t="s">
        <v>278</v>
      </c>
      <c r="D1179" s="10">
        <v>25</v>
      </c>
      <c r="E1179" s="27">
        <f>2.464-0.242-0.35-0.024-0.936-0.19</f>
        <v>0.72199999999999975</v>
      </c>
    </row>
    <row r="1180" spans="1:5" ht="17">
      <c r="A1180" s="39" t="s">
        <v>963</v>
      </c>
      <c r="B1180" s="5" t="s">
        <v>55</v>
      </c>
      <c r="C1180" s="16" t="s">
        <v>278</v>
      </c>
      <c r="D1180" s="10">
        <v>30</v>
      </c>
      <c r="E1180" s="27">
        <f>2.372-0.204-0.778-0.03-0.06-0.09-0.03-0.044-0.331-0.044-0.119-0.09-0.059-0.167-0.2</f>
        <v>0.1259999999999995</v>
      </c>
    </row>
    <row r="1181" spans="1:5" ht="17">
      <c r="A1181" s="39" t="s">
        <v>963</v>
      </c>
      <c r="B1181" s="5" t="s">
        <v>55</v>
      </c>
      <c r="C1181" s="16" t="s">
        <v>278</v>
      </c>
      <c r="D1181" s="10">
        <v>30</v>
      </c>
      <c r="E1181" s="27">
        <f>1.464-1.344</f>
        <v>0.11999999999999988</v>
      </c>
    </row>
    <row r="1182" spans="1:5" ht="17">
      <c r="A1182" s="39" t="s">
        <v>963</v>
      </c>
      <c r="B1182" s="5" t="s">
        <v>55</v>
      </c>
      <c r="C1182" s="16" t="s">
        <v>278</v>
      </c>
      <c r="D1182" s="10">
        <v>35</v>
      </c>
      <c r="E1182" s="27">
        <f>1.012-0.17-0.297-0.046-0.2</f>
        <v>0.29899999999999993</v>
      </c>
    </row>
    <row r="1183" spans="1:5" ht="17">
      <c r="A1183" s="39" t="s">
        <v>963</v>
      </c>
      <c r="B1183" s="5" t="s">
        <v>55</v>
      </c>
      <c r="C1183" s="16" t="s">
        <v>278</v>
      </c>
      <c r="D1183" s="10">
        <v>45</v>
      </c>
      <c r="E1183" s="27">
        <f>1.642-0.038-0.188-0.09</f>
        <v>1.3259999999999998</v>
      </c>
    </row>
    <row r="1184" spans="1:5" ht="17">
      <c r="A1184" s="39" t="s">
        <v>963</v>
      </c>
      <c r="B1184" s="5" t="s">
        <v>55</v>
      </c>
      <c r="C1184" s="16" t="s">
        <v>278</v>
      </c>
      <c r="D1184" s="10">
        <v>50</v>
      </c>
      <c r="E1184" s="27">
        <f>3.588-0.046-0.533-0.088-0.087-0.786-0.134-0.168-0.18-0.176-0.174-0.261-0.694</f>
        <v>0.26100000000000045</v>
      </c>
    </row>
    <row r="1185" spans="1:5" ht="17">
      <c r="A1185" s="39" t="s">
        <v>963</v>
      </c>
      <c r="B1185" s="5" t="s">
        <v>55</v>
      </c>
      <c r="C1185" s="16" t="s">
        <v>278</v>
      </c>
      <c r="D1185" s="10">
        <v>50</v>
      </c>
      <c r="E1185" s="27">
        <f>1.374-0.3-0.2</f>
        <v>0.87400000000000011</v>
      </c>
    </row>
    <row r="1186" spans="1:5" ht="17">
      <c r="A1186" s="39" t="s">
        <v>963</v>
      </c>
      <c r="B1186" s="5" t="s">
        <v>55</v>
      </c>
      <c r="C1186" s="16" t="s">
        <v>278</v>
      </c>
      <c r="D1186" s="10">
        <v>50</v>
      </c>
      <c r="E1186" s="27">
        <f>1.556</f>
        <v>1.556</v>
      </c>
    </row>
    <row r="1187" spans="1:5" ht="17">
      <c r="A1187" s="39" t="s">
        <v>963</v>
      </c>
      <c r="B1187" s="5" t="s">
        <v>55</v>
      </c>
      <c r="C1187" s="16" t="s">
        <v>278</v>
      </c>
      <c r="D1187" s="10">
        <v>55</v>
      </c>
      <c r="E1187" s="27">
        <f>1.65-0.058-1.03-0.232-0.081-0.02</f>
        <v>0.22899999999999984</v>
      </c>
    </row>
    <row r="1188" spans="1:5" ht="17">
      <c r="A1188" s="39" t="s">
        <v>963</v>
      </c>
      <c r="B1188" s="5" t="s">
        <v>55</v>
      </c>
      <c r="C1188" s="16" t="s">
        <v>278</v>
      </c>
      <c r="D1188" s="10">
        <v>56</v>
      </c>
      <c r="E1188" s="27">
        <f>1.068</f>
        <v>1.0680000000000001</v>
      </c>
    </row>
    <row r="1189" spans="1:5" ht="17">
      <c r="A1189" s="39" t="s">
        <v>963</v>
      </c>
      <c r="B1189" s="5" t="s">
        <v>55</v>
      </c>
      <c r="C1189" s="16" t="s">
        <v>278</v>
      </c>
      <c r="D1189" s="10">
        <v>60</v>
      </c>
      <c r="E1189" s="27">
        <f>2.094-0.26-0.05-1.232-0.121-0.079-0.3</f>
        <v>5.1999999999999824E-2</v>
      </c>
    </row>
    <row r="1190" spans="1:5" ht="17">
      <c r="A1190" s="39" t="s">
        <v>963</v>
      </c>
      <c r="B1190" s="5" t="s">
        <v>55</v>
      </c>
      <c r="C1190" s="16" t="s">
        <v>278</v>
      </c>
      <c r="D1190" s="10">
        <v>60</v>
      </c>
      <c r="E1190" s="27">
        <f>1.58-0.599</f>
        <v>0.98100000000000009</v>
      </c>
    </row>
    <row r="1191" spans="1:5" ht="17">
      <c r="A1191" s="39" t="s">
        <v>963</v>
      </c>
      <c r="B1191" s="5" t="s">
        <v>55</v>
      </c>
      <c r="C1191" s="16" t="s">
        <v>278</v>
      </c>
      <c r="D1191" s="10">
        <v>65</v>
      </c>
      <c r="E1191" s="27">
        <f>2.514-0.053</f>
        <v>2.4609999999999999</v>
      </c>
    </row>
    <row r="1192" spans="1:5" ht="17">
      <c r="A1192" s="39" t="s">
        <v>963</v>
      </c>
      <c r="B1192" s="5" t="s">
        <v>55</v>
      </c>
      <c r="C1192" s="16" t="s">
        <v>278</v>
      </c>
      <c r="D1192" s="16">
        <v>70</v>
      </c>
      <c r="E1192" s="25">
        <f>3.04-0.312-0.363-0.3</f>
        <v>2.0650000000000004</v>
      </c>
    </row>
    <row r="1193" spans="1:5" ht="17">
      <c r="A1193" s="39" t="s">
        <v>963</v>
      </c>
      <c r="B1193" s="5" t="s">
        <v>55</v>
      </c>
      <c r="C1193" s="16" t="s">
        <v>278</v>
      </c>
      <c r="D1193" s="16">
        <v>90</v>
      </c>
      <c r="E1193" s="25">
        <f>3.39-0.098-2.546-0.3</f>
        <v>0.44600000000000045</v>
      </c>
    </row>
    <row r="1194" spans="1:5" ht="17">
      <c r="A1194" s="39" t="s">
        <v>963</v>
      </c>
      <c r="B1194" s="5" t="s">
        <v>55</v>
      </c>
      <c r="C1194" s="16" t="s">
        <v>155</v>
      </c>
      <c r="D1194" s="10">
        <v>100</v>
      </c>
      <c r="E1194" s="27">
        <f>3.452-0.82-0.134-1.6-0.192-0.261</f>
        <v>0.44500000000000017</v>
      </c>
    </row>
    <row r="1195" spans="1:5" ht="17">
      <c r="A1195" s="39" t="s">
        <v>963</v>
      </c>
      <c r="B1195" s="5" t="s">
        <v>55</v>
      </c>
      <c r="C1195" s="16" t="s">
        <v>278</v>
      </c>
      <c r="D1195" s="10">
        <v>100</v>
      </c>
      <c r="E1195" s="27">
        <f>3.33-0.74-0.37</f>
        <v>2.2199999999999998</v>
      </c>
    </row>
    <row r="1196" spans="1:5" ht="17">
      <c r="A1196" s="39" t="s">
        <v>963</v>
      </c>
      <c r="B1196" s="5" t="s">
        <v>55</v>
      </c>
      <c r="C1196" s="16" t="s">
        <v>155</v>
      </c>
      <c r="D1196" s="16">
        <v>110</v>
      </c>
      <c r="E1196" s="25">
        <f>1.36</f>
        <v>1.36</v>
      </c>
    </row>
    <row r="1197" spans="1:5" ht="17">
      <c r="A1197" s="39" t="s">
        <v>963</v>
      </c>
      <c r="B1197" s="5" t="s">
        <v>55</v>
      </c>
      <c r="C1197" s="16" t="s">
        <v>278</v>
      </c>
      <c r="D1197" s="10">
        <v>120</v>
      </c>
      <c r="E1197" s="27">
        <f>3.365</f>
        <v>3.3650000000000002</v>
      </c>
    </row>
    <row r="1198" spans="1:5" ht="17">
      <c r="A1198" s="39" t="s">
        <v>963</v>
      </c>
      <c r="B1198" s="5" t="s">
        <v>55</v>
      </c>
      <c r="C1198" s="16" t="s">
        <v>155</v>
      </c>
      <c r="D1198" s="10">
        <v>140</v>
      </c>
      <c r="E1198" s="27">
        <f>1.276-0.064-0.382</f>
        <v>0.83</v>
      </c>
    </row>
    <row r="1199" spans="1:5" ht="17">
      <c r="A1199" s="39" t="s">
        <v>963</v>
      </c>
      <c r="B1199" s="5" t="s">
        <v>55</v>
      </c>
      <c r="C1199" s="16" t="s">
        <v>155</v>
      </c>
      <c r="D1199" s="10">
        <v>140</v>
      </c>
      <c r="E1199" s="27">
        <f>3.37-1.122-1.707</f>
        <v>0.54100000000000015</v>
      </c>
    </row>
    <row r="1200" spans="1:5" ht="17">
      <c r="A1200" s="39" t="s">
        <v>963</v>
      </c>
      <c r="B1200" s="5" t="s">
        <v>55</v>
      </c>
      <c r="C1200" s="16" t="s">
        <v>155</v>
      </c>
      <c r="D1200" s="16">
        <v>150</v>
      </c>
      <c r="E1200" s="25">
        <f>0.856-0.42-0.144</f>
        <v>0.29200000000000004</v>
      </c>
    </row>
    <row r="1201" spans="1:5" ht="17">
      <c r="A1201" s="39" t="s">
        <v>963</v>
      </c>
      <c r="B1201" s="5" t="s">
        <v>55</v>
      </c>
      <c r="C1201" s="16" t="s">
        <v>155</v>
      </c>
      <c r="D1201" s="16">
        <v>150</v>
      </c>
      <c r="E1201" s="25">
        <f>2.782-0.428-0.31-1.34</f>
        <v>0.70399999999999996</v>
      </c>
    </row>
    <row r="1202" spans="1:5" ht="17">
      <c r="A1202" s="39" t="s">
        <v>963</v>
      </c>
      <c r="B1202" s="5" t="s">
        <v>55</v>
      </c>
      <c r="C1202" s="16" t="s">
        <v>155</v>
      </c>
      <c r="D1202" s="10">
        <v>160</v>
      </c>
      <c r="E1202" s="27">
        <f>1.728-0.506-0.166</f>
        <v>1.056</v>
      </c>
    </row>
    <row r="1203" spans="1:5" ht="17">
      <c r="A1203" s="39" t="s">
        <v>963</v>
      </c>
      <c r="B1203" s="5" t="s">
        <v>55</v>
      </c>
      <c r="C1203" s="16" t="s">
        <v>155</v>
      </c>
      <c r="D1203" s="10">
        <v>160</v>
      </c>
      <c r="E1203" s="27">
        <f>1.736</f>
        <v>1.736</v>
      </c>
    </row>
    <row r="1204" spans="1:5" ht="17">
      <c r="A1204" s="39" t="s">
        <v>963</v>
      </c>
      <c r="B1204" s="5" t="s">
        <v>55</v>
      </c>
      <c r="C1204" s="16" t="s">
        <v>155</v>
      </c>
      <c r="D1204" s="10">
        <v>160</v>
      </c>
      <c r="E1204" s="27">
        <f>2.766-2.4</f>
        <v>0.3660000000000001</v>
      </c>
    </row>
    <row r="1205" spans="1:5" ht="17">
      <c r="A1205" s="39" t="s">
        <v>963</v>
      </c>
      <c r="B1205" s="5" t="s">
        <v>55</v>
      </c>
      <c r="C1205" s="16" t="s">
        <v>155</v>
      </c>
      <c r="D1205" s="10">
        <v>160</v>
      </c>
      <c r="E1205" s="27">
        <f>2.565</f>
        <v>2.5649999999999999</v>
      </c>
    </row>
    <row r="1206" spans="1:5" ht="17">
      <c r="A1206" s="39" t="s">
        <v>963</v>
      </c>
      <c r="B1206" s="5" t="s">
        <v>55</v>
      </c>
      <c r="C1206" s="16" t="s">
        <v>155</v>
      </c>
      <c r="D1206" s="10">
        <v>160</v>
      </c>
      <c r="E1206" s="27">
        <f>0.835</f>
        <v>0.83499999999999996</v>
      </c>
    </row>
    <row r="1207" spans="1:5" ht="17">
      <c r="A1207" s="39" t="s">
        <v>963</v>
      </c>
      <c r="B1207" s="5" t="s">
        <v>55</v>
      </c>
      <c r="C1207" s="16" t="s">
        <v>155</v>
      </c>
      <c r="D1207" s="10">
        <v>180</v>
      </c>
      <c r="E1207" s="27">
        <f>3.27</f>
        <v>3.27</v>
      </c>
    </row>
    <row r="1208" spans="1:5" ht="17">
      <c r="A1208" s="39" t="s">
        <v>963</v>
      </c>
      <c r="B1208" s="5" t="s">
        <v>55</v>
      </c>
      <c r="C1208" s="16" t="s">
        <v>156</v>
      </c>
      <c r="D1208" s="16">
        <v>190</v>
      </c>
      <c r="E1208" s="26">
        <f>0.878-0.449-0.224+0.001-0.036</f>
        <v>0.16999999999999998</v>
      </c>
    </row>
    <row r="1209" spans="1:5" ht="17">
      <c r="A1209" s="39" t="s">
        <v>963</v>
      </c>
      <c r="B1209" s="5" t="s">
        <v>55</v>
      </c>
      <c r="C1209" s="16" t="s">
        <v>155</v>
      </c>
      <c r="D1209" s="16">
        <v>200</v>
      </c>
      <c r="E1209" s="26">
        <f>2.864-0.508</f>
        <v>2.3559999999999999</v>
      </c>
    </row>
    <row r="1210" spans="1:5" ht="17">
      <c r="A1210" s="39" t="s">
        <v>963</v>
      </c>
      <c r="B1210" s="5" t="s">
        <v>55</v>
      </c>
      <c r="C1210" s="16" t="s">
        <v>155</v>
      </c>
      <c r="D1210" s="16">
        <v>200</v>
      </c>
      <c r="E1210" s="26">
        <f>6.93-2.958</f>
        <v>3.9719999999999995</v>
      </c>
    </row>
    <row r="1211" spans="1:5" ht="17">
      <c r="A1211" s="39" t="s">
        <v>963</v>
      </c>
      <c r="B1211" s="5" t="s">
        <v>55</v>
      </c>
      <c r="C1211" s="16" t="s">
        <v>155</v>
      </c>
      <c r="D1211" s="16">
        <v>210</v>
      </c>
      <c r="E1211" s="26">
        <v>2.3679999999999999</v>
      </c>
    </row>
    <row r="1212" spans="1:5" ht="17">
      <c r="A1212" s="39" t="s">
        <v>963</v>
      </c>
      <c r="B1212" s="5" t="s">
        <v>55</v>
      </c>
      <c r="C1212" s="16" t="s">
        <v>155</v>
      </c>
      <c r="D1212" s="16">
        <v>220</v>
      </c>
      <c r="E1212" s="26">
        <v>2.8559999999999999</v>
      </c>
    </row>
    <row r="1213" spans="1:5" ht="17">
      <c r="A1213" s="39" t="s">
        <v>963</v>
      </c>
      <c r="B1213" s="5" t="s">
        <v>55</v>
      </c>
      <c r="C1213" s="16" t="s">
        <v>155</v>
      </c>
      <c r="D1213" s="16">
        <v>260</v>
      </c>
      <c r="E1213" s="25">
        <f>6.875</f>
        <v>6.875</v>
      </c>
    </row>
    <row r="1214" spans="1:5" ht="17">
      <c r="A1214" s="39" t="s">
        <v>963</v>
      </c>
      <c r="B1214" s="5" t="s">
        <v>55</v>
      </c>
      <c r="C1214" s="16" t="s">
        <v>108</v>
      </c>
      <c r="D1214" s="10">
        <v>280</v>
      </c>
      <c r="E1214" s="27">
        <f>0.435-0.305</f>
        <v>0.13</v>
      </c>
    </row>
    <row r="1215" spans="1:5" ht="17">
      <c r="A1215" s="39" t="s">
        <v>963</v>
      </c>
      <c r="B1215" s="5" t="s">
        <v>726</v>
      </c>
      <c r="C1215" s="16" t="s">
        <v>155</v>
      </c>
      <c r="D1215" s="11">
        <v>320</v>
      </c>
      <c r="E1215" s="25">
        <f>3.356-1.974</f>
        <v>1.3819999999999999</v>
      </c>
    </row>
    <row r="1216" spans="1:5" ht="17">
      <c r="A1216" s="39" t="s">
        <v>963</v>
      </c>
      <c r="B1216" s="5" t="s">
        <v>726</v>
      </c>
      <c r="C1216" s="16" t="s">
        <v>155</v>
      </c>
      <c r="D1216" s="11">
        <v>330</v>
      </c>
      <c r="E1216" s="25">
        <f>3.556</f>
        <v>3.556</v>
      </c>
    </row>
    <row r="1217" spans="1:5" ht="17">
      <c r="A1217" s="39" t="s">
        <v>963</v>
      </c>
      <c r="B1217" s="12" t="s">
        <v>62</v>
      </c>
      <c r="C1217" s="16" t="s">
        <v>197</v>
      </c>
      <c r="D1217" s="11">
        <v>10</v>
      </c>
      <c r="E1217" s="25">
        <f>0.522-0.018-0.072-0.016-0.016-0.015-0.078</f>
        <v>0.30699999999999994</v>
      </c>
    </row>
    <row r="1218" spans="1:5" ht="17">
      <c r="A1218" s="39" t="s">
        <v>963</v>
      </c>
      <c r="B1218" s="12" t="s">
        <v>62</v>
      </c>
      <c r="C1218" s="16" t="s">
        <v>197</v>
      </c>
      <c r="D1218" s="11">
        <v>12</v>
      </c>
      <c r="E1218" s="25">
        <f>0.785-0.016-0.102-0.016</f>
        <v>0.65100000000000002</v>
      </c>
    </row>
    <row r="1219" spans="1:5" ht="17">
      <c r="A1219" s="39" t="s">
        <v>963</v>
      </c>
      <c r="B1219" s="12" t="s">
        <v>62</v>
      </c>
      <c r="C1219" s="16" t="s">
        <v>197</v>
      </c>
      <c r="D1219" s="11">
        <v>20</v>
      </c>
      <c r="E1219" s="25">
        <f>1.216-0.016-0.055-0.012-0.015-0.015-0.148-0.026-0.014-0.028-0.014-0.04-0.1-0.1-0.024-0.015-0.011-0.1</f>
        <v>0.4830000000000001</v>
      </c>
    </row>
    <row r="1220" spans="1:5" ht="17">
      <c r="A1220" s="39" t="s">
        <v>963</v>
      </c>
      <c r="B1220" s="12" t="s">
        <v>62</v>
      </c>
      <c r="C1220" s="16" t="s">
        <v>197</v>
      </c>
      <c r="D1220" s="11">
        <v>20</v>
      </c>
      <c r="E1220" s="25">
        <f>1.908</f>
        <v>1.9079999999999999</v>
      </c>
    </row>
    <row r="1221" spans="1:5" ht="17">
      <c r="A1221" s="39" t="s">
        <v>963</v>
      </c>
      <c r="B1221" s="12" t="s">
        <v>62</v>
      </c>
      <c r="C1221" s="16" t="s">
        <v>197</v>
      </c>
      <c r="D1221" s="11">
        <v>25</v>
      </c>
      <c r="E1221" s="25">
        <f>0.892-0.144-0.02-0.064-0.022-0.022</f>
        <v>0.61999999999999988</v>
      </c>
    </row>
    <row r="1222" spans="1:5" ht="17">
      <c r="A1222" s="39" t="s">
        <v>963</v>
      </c>
      <c r="B1222" s="12" t="s">
        <v>62</v>
      </c>
      <c r="C1222" s="16" t="s">
        <v>197</v>
      </c>
      <c r="D1222" s="11">
        <v>25</v>
      </c>
      <c r="E1222" s="25">
        <f>1.46-0.021-0.05-0.2</f>
        <v>1.1890000000000001</v>
      </c>
    </row>
    <row r="1223" spans="1:5" ht="17">
      <c r="A1223" s="39" t="s">
        <v>963</v>
      </c>
      <c r="B1223" s="12" t="s">
        <v>62</v>
      </c>
      <c r="C1223" s="16" t="s">
        <v>197</v>
      </c>
      <c r="D1223" s="11">
        <v>30</v>
      </c>
      <c r="E1223" s="25">
        <f>0.563-0.353-0.024-0.071-0.023-0.024-0.011</f>
        <v>5.6999999999999981E-2</v>
      </c>
    </row>
    <row r="1224" spans="1:5" ht="17">
      <c r="A1224" s="39" t="s">
        <v>963</v>
      </c>
      <c r="B1224" s="12" t="s">
        <v>62</v>
      </c>
      <c r="C1224" s="16" t="s">
        <v>197</v>
      </c>
      <c r="D1224" s="11">
        <v>30</v>
      </c>
      <c r="E1224" s="25">
        <f>2.3-0.122-0.031-0.214-0.03-0.142-0.06-0.018-0.023-0.092-0.023-0.031-0.031-0.092-0.014-0.157-0.02-0.12</f>
        <v>1.08</v>
      </c>
    </row>
    <row r="1225" spans="1:5" ht="17">
      <c r="A1225" s="39" t="s">
        <v>963</v>
      </c>
      <c r="B1225" s="12" t="s">
        <v>62</v>
      </c>
      <c r="C1225" s="16" t="s">
        <v>197</v>
      </c>
      <c r="D1225" s="11">
        <v>30</v>
      </c>
      <c r="E1225" s="25">
        <f>0.93</f>
        <v>0.93</v>
      </c>
    </row>
    <row r="1226" spans="1:5" ht="17">
      <c r="A1226" s="39" t="s">
        <v>963</v>
      </c>
      <c r="B1226" s="12" t="s">
        <v>62</v>
      </c>
      <c r="C1226" s="16" t="s">
        <v>197</v>
      </c>
      <c r="D1226" s="11">
        <v>30</v>
      </c>
      <c r="E1226" s="25">
        <f>2.216-0.027-0.08</f>
        <v>2.109</v>
      </c>
    </row>
    <row r="1227" spans="1:5" ht="17">
      <c r="A1227" s="39" t="s">
        <v>963</v>
      </c>
      <c r="B1227" s="12" t="s">
        <v>62</v>
      </c>
      <c r="C1227" s="16" t="s">
        <v>197</v>
      </c>
      <c r="D1227" s="11">
        <v>40</v>
      </c>
      <c r="E1227" s="25">
        <f>2.43-0.059-0.197-0.104-0.146-0.06</f>
        <v>1.8639999999999999</v>
      </c>
    </row>
    <row r="1228" spans="1:5" ht="17">
      <c r="A1228" s="39" t="s">
        <v>963</v>
      </c>
      <c r="B1228" s="12" t="s">
        <v>62</v>
      </c>
      <c r="C1228" s="16" t="s">
        <v>197</v>
      </c>
      <c r="D1228" s="11">
        <v>45</v>
      </c>
      <c r="E1228" s="25">
        <f>0.616-0.06-0.275-0.06-0.106-0.025-0.019</f>
        <v>7.1000000000000021E-2</v>
      </c>
    </row>
    <row r="1229" spans="1:5" ht="17">
      <c r="A1229" s="39" t="s">
        <v>963</v>
      </c>
      <c r="B1229" s="12" t="s">
        <v>62</v>
      </c>
      <c r="C1229" s="16" t="s">
        <v>197</v>
      </c>
      <c r="D1229" s="11">
        <v>45</v>
      </c>
      <c r="E1229" s="25">
        <f>0.207</f>
        <v>0.20699999999999999</v>
      </c>
    </row>
    <row r="1230" spans="1:5" ht="17">
      <c r="A1230" s="39" t="s">
        <v>963</v>
      </c>
      <c r="B1230" s="12" t="s">
        <v>62</v>
      </c>
      <c r="C1230" s="16" t="s">
        <v>197</v>
      </c>
      <c r="D1230" s="11">
        <v>45</v>
      </c>
      <c r="E1230" s="25">
        <f>1.078-0.364-0.101</f>
        <v>0.6130000000000001</v>
      </c>
    </row>
    <row r="1231" spans="1:5" ht="17">
      <c r="A1231" s="39" t="s">
        <v>963</v>
      </c>
      <c r="B1231" s="12" t="s">
        <v>62</v>
      </c>
      <c r="C1231" s="16" t="s">
        <v>197</v>
      </c>
      <c r="D1231" s="11">
        <v>45</v>
      </c>
      <c r="E1231" s="25">
        <f>0.656</f>
        <v>0.65600000000000003</v>
      </c>
    </row>
    <row r="1232" spans="1:5" ht="17">
      <c r="A1232" s="39" t="s">
        <v>963</v>
      </c>
      <c r="B1232" s="12" t="s">
        <v>62</v>
      </c>
      <c r="C1232" s="16" t="s">
        <v>197</v>
      </c>
      <c r="D1232" s="11">
        <v>50</v>
      </c>
      <c r="E1232" s="25">
        <f>4.158-0.304-0.07-0.08-0.074-0.508-0.512-0.134-0.226</f>
        <v>2.2500000000000009</v>
      </c>
    </row>
    <row r="1233" spans="1:5" ht="17">
      <c r="A1233" s="39" t="s">
        <v>963</v>
      </c>
      <c r="B1233" s="12" t="s">
        <v>62</v>
      </c>
      <c r="C1233" s="16" t="s">
        <v>197</v>
      </c>
      <c r="D1233" s="11">
        <v>50</v>
      </c>
      <c r="E1233" s="25">
        <f>1.89</f>
        <v>1.89</v>
      </c>
    </row>
    <row r="1234" spans="1:5" ht="17">
      <c r="A1234" s="39" t="s">
        <v>963</v>
      </c>
      <c r="B1234" s="12" t="s">
        <v>62</v>
      </c>
      <c r="C1234" s="16" t="s">
        <v>197</v>
      </c>
      <c r="D1234" s="11">
        <v>55</v>
      </c>
      <c r="E1234" s="25">
        <f>1.098</f>
        <v>1.0980000000000001</v>
      </c>
    </row>
    <row r="1235" spans="1:5" ht="17">
      <c r="A1235" s="39" t="s">
        <v>963</v>
      </c>
      <c r="B1235" s="12" t="s">
        <v>62</v>
      </c>
      <c r="C1235" s="16" t="s">
        <v>197</v>
      </c>
      <c r="D1235" s="11">
        <v>65</v>
      </c>
      <c r="E1235" s="25">
        <f>1.034-0.391-0.054-0.396</f>
        <v>0.19299999999999995</v>
      </c>
    </row>
    <row r="1236" spans="1:5" ht="17">
      <c r="A1236" s="39" t="s">
        <v>963</v>
      </c>
      <c r="B1236" s="12" t="s">
        <v>62</v>
      </c>
      <c r="C1236" s="16" t="s">
        <v>197</v>
      </c>
      <c r="D1236" s="11">
        <v>65</v>
      </c>
      <c r="E1236" s="25">
        <f>1.174-0.454</f>
        <v>0.72</v>
      </c>
    </row>
    <row r="1237" spans="1:5" ht="17">
      <c r="A1237" s="39" t="s">
        <v>963</v>
      </c>
      <c r="B1237" s="12" t="s">
        <v>62</v>
      </c>
      <c r="C1237" s="16" t="s">
        <v>197</v>
      </c>
      <c r="D1237" s="11">
        <v>75</v>
      </c>
      <c r="E1237" s="25">
        <f>0.715-0.412-0.068</f>
        <v>0.23499999999999999</v>
      </c>
    </row>
    <row r="1238" spans="1:5" ht="17">
      <c r="A1238" s="39" t="s">
        <v>963</v>
      </c>
      <c r="B1238" s="12" t="s">
        <v>62</v>
      </c>
      <c r="C1238" s="16" t="s">
        <v>155</v>
      </c>
      <c r="D1238" s="11">
        <v>75</v>
      </c>
      <c r="E1238" s="25">
        <f>0.393-0.146</f>
        <v>0.24700000000000003</v>
      </c>
    </row>
    <row r="1239" spans="1:5" ht="17">
      <c r="A1239" s="39" t="s">
        <v>963</v>
      </c>
      <c r="B1239" s="12" t="s">
        <v>62</v>
      </c>
      <c r="C1239" s="16" t="s">
        <v>155</v>
      </c>
      <c r="D1239" s="11">
        <v>80</v>
      </c>
      <c r="E1239" s="25">
        <f>5.185-2-0.5-0.5</f>
        <v>2.1849999999999996</v>
      </c>
    </row>
    <row r="1240" spans="1:5" ht="17">
      <c r="A1240" s="39" t="s">
        <v>963</v>
      </c>
      <c r="B1240" s="12" t="s">
        <v>62</v>
      </c>
      <c r="C1240" s="16" t="s">
        <v>155</v>
      </c>
      <c r="D1240" s="11">
        <v>85</v>
      </c>
      <c r="E1240" s="25">
        <f>0.674-0.231-0.06-0.176</f>
        <v>0.20700000000000007</v>
      </c>
    </row>
    <row r="1241" spans="1:5" ht="17">
      <c r="A1241" s="39" t="s">
        <v>963</v>
      </c>
      <c r="B1241" s="12" t="s">
        <v>62</v>
      </c>
      <c r="C1241" s="16" t="s">
        <v>155</v>
      </c>
      <c r="D1241" s="11">
        <v>85</v>
      </c>
      <c r="E1241" s="25">
        <f>0.526</f>
        <v>0.52600000000000002</v>
      </c>
    </row>
    <row r="1242" spans="1:5" ht="17">
      <c r="A1242" s="39" t="s">
        <v>963</v>
      </c>
      <c r="B1242" s="12" t="s">
        <v>62</v>
      </c>
      <c r="C1242" s="16" t="s">
        <v>155</v>
      </c>
      <c r="D1242" s="11">
        <v>90</v>
      </c>
      <c r="E1242" s="25">
        <f>10.036-5.272</f>
        <v>4.7639999999999993</v>
      </c>
    </row>
    <row r="1243" spans="1:5" ht="17">
      <c r="A1243" s="39" t="s">
        <v>963</v>
      </c>
      <c r="B1243" s="1" t="s">
        <v>62</v>
      </c>
      <c r="C1243" s="16" t="s">
        <v>155</v>
      </c>
      <c r="D1243" s="16">
        <v>100</v>
      </c>
      <c r="E1243" s="25">
        <f>6.206-0.485-0.52-0.205-0.5-0.185-0.568-2.605-0.132-0.488-0.144-0.3</f>
        <v>7.4000000000000676E-2</v>
      </c>
    </row>
    <row r="1244" spans="1:5" ht="17">
      <c r="A1244" s="39" t="s">
        <v>963</v>
      </c>
      <c r="B1244" s="12" t="s">
        <v>62</v>
      </c>
      <c r="C1244" s="16" t="s">
        <v>155</v>
      </c>
      <c r="D1244" s="11">
        <v>100</v>
      </c>
      <c r="E1244" s="25">
        <f>2.1-0.23-0.54-0.184-0.532-0.264-0.022-0.108</f>
        <v>0.22000000000000008</v>
      </c>
    </row>
    <row r="1245" spans="1:5" ht="17">
      <c r="A1245" s="39" t="s">
        <v>963</v>
      </c>
      <c r="B1245" s="12" t="s">
        <v>62</v>
      </c>
      <c r="C1245" s="16" t="s">
        <v>155</v>
      </c>
      <c r="D1245" s="11">
        <v>100</v>
      </c>
      <c r="E1245" s="25">
        <f>5.231-0.274-1.016-0.504-0.746-0.6-1</f>
        <v>1.0909999999999997</v>
      </c>
    </row>
    <row r="1246" spans="1:5" ht="17">
      <c r="A1246" s="39" t="s">
        <v>963</v>
      </c>
      <c r="B1246" s="12" t="s">
        <v>62</v>
      </c>
      <c r="C1246" s="16" t="s">
        <v>155</v>
      </c>
      <c r="D1246" s="11">
        <v>100</v>
      </c>
      <c r="E1246" s="25">
        <f>6.164-0.79</f>
        <v>5.3739999999999997</v>
      </c>
    </row>
    <row r="1247" spans="1:5" ht="17">
      <c r="A1247" s="39" t="s">
        <v>963</v>
      </c>
      <c r="B1247" s="1" t="s">
        <v>62</v>
      </c>
      <c r="C1247" s="16" t="s">
        <v>155</v>
      </c>
      <c r="D1247" s="16">
        <v>110</v>
      </c>
      <c r="E1247" s="25">
        <f>2.492-0.262-0.512-0.249-0.134-0.03-0.59-0.494-0.04</f>
        <v>0.18099999999999997</v>
      </c>
    </row>
    <row r="1248" spans="1:5" ht="17">
      <c r="A1248" s="39" t="s">
        <v>963</v>
      </c>
      <c r="B1248" s="12" t="s">
        <v>62</v>
      </c>
      <c r="C1248" s="16" t="s">
        <v>155</v>
      </c>
      <c r="D1248" s="11">
        <v>110</v>
      </c>
      <c r="E1248" s="25">
        <f>2.894-0.536-1.036-1.052</f>
        <v>0.27</v>
      </c>
    </row>
    <row r="1249" spans="1:5" ht="17">
      <c r="A1249" s="39" t="s">
        <v>963</v>
      </c>
      <c r="B1249" s="12" t="s">
        <v>62</v>
      </c>
      <c r="C1249" s="16" t="s">
        <v>155</v>
      </c>
      <c r="D1249" s="11">
        <v>120</v>
      </c>
      <c r="E1249" s="25">
        <f>4.362-0.734-1.116-0.152-0.35-0.378-0.7-0.29-0.301</f>
        <v>0.34099999999999969</v>
      </c>
    </row>
    <row r="1250" spans="1:5" ht="17">
      <c r="A1250" s="39" t="s">
        <v>963</v>
      </c>
      <c r="B1250" s="12" t="s">
        <v>62</v>
      </c>
      <c r="C1250" s="16" t="s">
        <v>155</v>
      </c>
      <c r="D1250" s="11">
        <v>120</v>
      </c>
      <c r="E1250" s="25">
        <f>3.418-0.708</f>
        <v>2.71</v>
      </c>
    </row>
    <row r="1251" spans="1:5" ht="17">
      <c r="A1251" s="39" t="s">
        <v>963</v>
      </c>
      <c r="B1251" s="12" t="s">
        <v>62</v>
      </c>
      <c r="C1251" s="16" t="s">
        <v>155</v>
      </c>
      <c r="D1251" s="11">
        <v>120</v>
      </c>
      <c r="E1251" s="25">
        <f>2.874-2</f>
        <v>0.87400000000000011</v>
      </c>
    </row>
    <row r="1252" spans="1:5" ht="17">
      <c r="A1252" s="39" t="s">
        <v>963</v>
      </c>
      <c r="B1252" s="12" t="s">
        <v>62</v>
      </c>
      <c r="C1252" s="16" t="s">
        <v>155</v>
      </c>
      <c r="D1252" s="11">
        <v>130</v>
      </c>
      <c r="E1252" s="25">
        <f>4.927-0.239-0.022-0.829-0.436-0.443-0.862-0.108-0.382-1.162-0.21</f>
        <v>0.23399999999999951</v>
      </c>
    </row>
    <row r="1253" spans="1:5" ht="17">
      <c r="A1253" s="39" t="s">
        <v>963</v>
      </c>
      <c r="B1253" s="1" t="s">
        <v>62</v>
      </c>
      <c r="C1253" s="16" t="s">
        <v>155</v>
      </c>
      <c r="D1253" s="16">
        <v>140</v>
      </c>
      <c r="E1253" s="25">
        <f>2.092-0.564-0.186-0.104-0.505-0.28</f>
        <v>0.45299999999999996</v>
      </c>
    </row>
    <row r="1254" spans="1:5" ht="17">
      <c r="A1254" s="39" t="s">
        <v>963</v>
      </c>
      <c r="B1254" s="1" t="s">
        <v>62</v>
      </c>
      <c r="C1254" s="16" t="s">
        <v>155</v>
      </c>
      <c r="D1254" s="16">
        <v>140</v>
      </c>
      <c r="E1254" s="25">
        <f>4.452-0.984</f>
        <v>3.468</v>
      </c>
    </row>
    <row r="1255" spans="1:5" ht="17">
      <c r="A1255" s="39" t="s">
        <v>963</v>
      </c>
      <c r="B1255" s="1" t="s">
        <v>62</v>
      </c>
      <c r="C1255" s="16" t="s">
        <v>155</v>
      </c>
      <c r="D1255" s="16">
        <v>140</v>
      </c>
      <c r="E1255" s="25">
        <f>3.159-2.527</f>
        <v>0.63199999999999967</v>
      </c>
    </row>
    <row r="1256" spans="1:5" ht="17">
      <c r="A1256" s="39" t="s">
        <v>963</v>
      </c>
      <c r="B1256" s="1" t="s">
        <v>62</v>
      </c>
      <c r="C1256" s="16" t="s">
        <v>155</v>
      </c>
      <c r="D1256" s="16">
        <v>140</v>
      </c>
      <c r="E1256" s="25">
        <f>1.05</f>
        <v>1.05</v>
      </c>
    </row>
    <row r="1257" spans="1:5" ht="17">
      <c r="A1257" s="39" t="s">
        <v>963</v>
      </c>
      <c r="B1257" s="12" t="s">
        <v>62</v>
      </c>
      <c r="C1257" s="11" t="s">
        <v>155</v>
      </c>
      <c r="D1257" s="11">
        <v>150</v>
      </c>
      <c r="E1257" s="25">
        <f>3.598-0.034-1.166</f>
        <v>2.3980000000000001</v>
      </c>
    </row>
    <row r="1258" spans="1:5" ht="17">
      <c r="A1258" s="39" t="s">
        <v>963</v>
      </c>
      <c r="B1258" s="12" t="s">
        <v>62</v>
      </c>
      <c r="C1258" s="11" t="s">
        <v>155</v>
      </c>
      <c r="D1258" s="11">
        <v>150</v>
      </c>
      <c r="E1258" s="25">
        <f>3.204-1.34</f>
        <v>1.8640000000000001</v>
      </c>
    </row>
    <row r="1259" spans="1:5" ht="17">
      <c r="A1259" s="39" t="s">
        <v>963</v>
      </c>
      <c r="B1259" s="12" t="s">
        <v>62</v>
      </c>
      <c r="C1259" s="16" t="s">
        <v>155</v>
      </c>
      <c r="D1259" s="11">
        <v>160</v>
      </c>
      <c r="E1259" s="25">
        <f>1.914-0.138-0.1-0.4-0.947</f>
        <v>0.32899999999999985</v>
      </c>
    </row>
    <row r="1260" spans="1:5" ht="17">
      <c r="A1260" s="39" t="s">
        <v>963</v>
      </c>
      <c r="B1260" s="12" t="s">
        <v>62</v>
      </c>
      <c r="C1260" s="16" t="s">
        <v>155</v>
      </c>
      <c r="D1260" s="11">
        <v>160</v>
      </c>
      <c r="E1260" s="25">
        <f>6.136</f>
        <v>6.1360000000000001</v>
      </c>
    </row>
    <row r="1261" spans="1:5" ht="17">
      <c r="A1261" s="39" t="s">
        <v>963</v>
      </c>
      <c r="B1261" s="12" t="s">
        <v>62</v>
      </c>
      <c r="C1261" s="16" t="s">
        <v>155</v>
      </c>
      <c r="D1261" s="11">
        <v>180</v>
      </c>
      <c r="E1261" s="25">
        <f>7.142-0.825-0.636-0.745-0.408-0.622-1.648-0.176-0.014-1.622</f>
        <v>0.44599999999999995</v>
      </c>
    </row>
    <row r="1262" spans="1:5" ht="17">
      <c r="A1262" s="39" t="s">
        <v>963</v>
      </c>
      <c r="B1262" s="12" t="s">
        <v>62</v>
      </c>
      <c r="C1262" s="16" t="s">
        <v>155</v>
      </c>
      <c r="D1262" s="11">
        <v>200</v>
      </c>
      <c r="E1262" s="25">
        <f>4.866-0.08-0.6-2.5-0.4</f>
        <v>1.286</v>
      </c>
    </row>
    <row r="1263" spans="1:5" ht="17">
      <c r="A1263" s="39" t="s">
        <v>963</v>
      </c>
      <c r="B1263" s="1" t="s">
        <v>62</v>
      </c>
      <c r="C1263" s="16" t="s">
        <v>155</v>
      </c>
      <c r="D1263" s="16">
        <v>210</v>
      </c>
      <c r="E1263" s="25">
        <f>3.353-0.276-0.1-0.306-0.192-1.14-0.308</f>
        <v>1.0309999999999997</v>
      </c>
    </row>
    <row r="1264" spans="1:5" ht="17">
      <c r="A1264" s="39" t="s">
        <v>963</v>
      </c>
      <c r="B1264" s="1" t="s">
        <v>62</v>
      </c>
      <c r="C1264" s="16" t="s">
        <v>155</v>
      </c>
      <c r="D1264" s="16">
        <v>220</v>
      </c>
      <c r="E1264" s="25">
        <f>1.61-0.102-0.31-0.302-0.064-0.456-0.094-0.09-0.044</f>
        <v>0.1479999999999998</v>
      </c>
    </row>
    <row r="1265" spans="1:5" ht="17">
      <c r="A1265" s="39" t="s">
        <v>963</v>
      </c>
      <c r="B1265" s="1" t="s">
        <v>62</v>
      </c>
      <c r="C1265" s="16" t="s">
        <v>155</v>
      </c>
      <c r="D1265" s="16">
        <v>220</v>
      </c>
      <c r="E1265" s="25">
        <f>5.994</f>
        <v>5.9939999999999998</v>
      </c>
    </row>
    <row r="1266" spans="1:5" ht="17">
      <c r="A1266" s="39" t="s">
        <v>963</v>
      </c>
      <c r="B1266" s="1" t="s">
        <v>62</v>
      </c>
      <c r="C1266" s="16" t="s">
        <v>155</v>
      </c>
      <c r="D1266" s="16">
        <v>230</v>
      </c>
      <c r="E1266" s="25">
        <f>3.764-1.246+(1.246)-1.248-0.544-0.852-0.098</f>
        <v>1.022</v>
      </c>
    </row>
    <row r="1267" spans="1:5" ht="17">
      <c r="A1267" s="39" t="s">
        <v>963</v>
      </c>
      <c r="B1267" s="1" t="s">
        <v>62</v>
      </c>
      <c r="C1267" s="16" t="s">
        <v>155</v>
      </c>
      <c r="D1267" s="16">
        <v>240</v>
      </c>
      <c r="E1267" s="25">
        <f>4.136-0.546-2.11-0.24-0.022-0.022-0.58-0.064</f>
        <v>0.55200000000000005</v>
      </c>
    </row>
    <row r="1268" spans="1:5" ht="17">
      <c r="A1268" s="39" t="s">
        <v>963</v>
      </c>
      <c r="B1268" s="12" t="s">
        <v>62</v>
      </c>
      <c r="C1268" s="16" t="s">
        <v>155</v>
      </c>
      <c r="D1268" s="11">
        <v>240</v>
      </c>
      <c r="E1268" s="25">
        <f>1.256-0.58</f>
        <v>0.67600000000000005</v>
      </c>
    </row>
    <row r="1269" spans="1:5" ht="17">
      <c r="A1269" s="39" t="s">
        <v>963</v>
      </c>
      <c r="B1269" s="12" t="s">
        <v>62</v>
      </c>
      <c r="C1269" s="16" t="s">
        <v>155</v>
      </c>
      <c r="D1269" s="11">
        <v>240</v>
      </c>
      <c r="E1269" s="25">
        <f>1.458</f>
        <v>1.458</v>
      </c>
    </row>
    <row r="1270" spans="1:5" ht="17">
      <c r="A1270" s="39" t="s">
        <v>963</v>
      </c>
      <c r="B1270" s="1" t="s">
        <v>62</v>
      </c>
      <c r="C1270" s="16" t="s">
        <v>155</v>
      </c>
      <c r="D1270" s="16">
        <v>250</v>
      </c>
      <c r="E1270" s="25">
        <f>3.4-0.022-0.08-0.624-0.02-0.026-0.166-0.056-0.786-0.563-0.5</f>
        <v>0.55700000000000016</v>
      </c>
    </row>
    <row r="1271" spans="1:5" ht="17">
      <c r="A1271" s="39" t="s">
        <v>963</v>
      </c>
      <c r="B1271" s="1" t="s">
        <v>62</v>
      </c>
      <c r="C1271" s="16" t="s">
        <v>155</v>
      </c>
      <c r="D1271" s="16">
        <v>250</v>
      </c>
      <c r="E1271" s="25">
        <f>5.446</f>
        <v>5.4459999999999997</v>
      </c>
    </row>
    <row r="1272" spans="1:5" ht="17">
      <c r="A1272" s="39" t="s">
        <v>963</v>
      </c>
      <c r="B1272" s="12" t="s">
        <v>62</v>
      </c>
      <c r="C1272" s="11" t="s">
        <v>131</v>
      </c>
      <c r="D1272" s="11">
        <v>260</v>
      </c>
      <c r="E1272" s="25">
        <f>1.67-0.06-0.096-0.216-0.812-0.125-0.062-0.028</f>
        <v>0.27099999999999974</v>
      </c>
    </row>
    <row r="1273" spans="1:5" ht="17">
      <c r="A1273" s="39" t="s">
        <v>963</v>
      </c>
      <c r="B1273" s="1" t="s">
        <v>62</v>
      </c>
      <c r="C1273" s="16" t="s">
        <v>155</v>
      </c>
      <c r="D1273" s="16">
        <v>260</v>
      </c>
      <c r="E1273" s="25">
        <f>2.062-0.428-0.512-0.06-0.256</f>
        <v>0.80599999999999983</v>
      </c>
    </row>
    <row r="1274" spans="1:5" ht="17">
      <c r="A1274" s="39" t="s">
        <v>963</v>
      </c>
      <c r="B1274" s="1" t="s">
        <v>62</v>
      </c>
      <c r="C1274" s="16" t="s">
        <v>155</v>
      </c>
      <c r="D1274" s="16">
        <v>260</v>
      </c>
      <c r="E1274" s="25">
        <f>4.324-0.426-1.27</f>
        <v>2.6279999999999997</v>
      </c>
    </row>
    <row r="1275" spans="1:5" ht="17">
      <c r="A1275" s="39" t="s">
        <v>963</v>
      </c>
      <c r="B1275" s="12" t="s">
        <v>62</v>
      </c>
      <c r="C1275" s="16" t="s">
        <v>155</v>
      </c>
      <c r="D1275" s="11">
        <v>270</v>
      </c>
      <c r="E1275" s="25">
        <f>2.147</f>
        <v>2.1469999999999998</v>
      </c>
    </row>
    <row r="1276" spans="1:5" ht="17">
      <c r="A1276" s="39" t="s">
        <v>963</v>
      </c>
      <c r="B1276" s="12" t="s">
        <v>62</v>
      </c>
      <c r="C1276" s="16" t="s">
        <v>155</v>
      </c>
      <c r="D1276" s="11">
        <v>280</v>
      </c>
      <c r="E1276" s="25">
        <f>2.55-0.064-0.262</f>
        <v>2.2239999999999998</v>
      </c>
    </row>
    <row r="1277" spans="1:5" ht="17">
      <c r="A1277" s="39" t="s">
        <v>963</v>
      </c>
      <c r="B1277" s="12" t="s">
        <v>62</v>
      </c>
      <c r="C1277" s="16" t="s">
        <v>155</v>
      </c>
      <c r="D1277" s="11">
        <v>280</v>
      </c>
      <c r="E1277" s="25">
        <f>5.062</f>
        <v>5.0620000000000003</v>
      </c>
    </row>
    <row r="1278" spans="1:5" ht="17">
      <c r="A1278" s="39" t="s">
        <v>963</v>
      </c>
      <c r="B1278" s="12" t="s">
        <v>62</v>
      </c>
      <c r="C1278" s="16" t="s">
        <v>155</v>
      </c>
      <c r="D1278" s="11">
        <v>280</v>
      </c>
      <c r="E1278" s="25">
        <f>2.515</f>
        <v>2.5150000000000001</v>
      </c>
    </row>
    <row r="1279" spans="1:5" ht="17">
      <c r="A1279" s="39" t="s">
        <v>963</v>
      </c>
      <c r="B1279" s="1" t="s">
        <v>62</v>
      </c>
      <c r="C1279" s="16" t="s">
        <v>155</v>
      </c>
      <c r="D1279" s="16">
        <v>300</v>
      </c>
      <c r="E1279" s="25">
        <f>2.565-1.722-0.152-0.08-0.038-0.082</f>
        <v>0.49099999999999994</v>
      </c>
    </row>
    <row r="1280" spans="1:5" ht="17">
      <c r="A1280" s="39" t="s">
        <v>963</v>
      </c>
      <c r="B1280" s="12" t="s">
        <v>62</v>
      </c>
      <c r="C1280" s="16" t="s">
        <v>155</v>
      </c>
      <c r="D1280" s="11">
        <v>300</v>
      </c>
      <c r="E1280" s="25">
        <f>4.091-0.842-2.972-0.048</f>
        <v>0.22900000000000015</v>
      </c>
    </row>
    <row r="1281" spans="1:5" ht="17">
      <c r="A1281" s="39" t="s">
        <v>963</v>
      </c>
      <c r="B1281" s="12" t="s">
        <v>62</v>
      </c>
      <c r="C1281" s="16" t="s">
        <v>155</v>
      </c>
      <c r="D1281" s="11">
        <v>300</v>
      </c>
      <c r="E1281" s="25">
        <f>7.228-1.73-3.328</f>
        <v>2.1699999999999995</v>
      </c>
    </row>
    <row r="1282" spans="1:5" ht="17">
      <c r="A1282" s="39" t="s">
        <v>963</v>
      </c>
      <c r="B1282" s="12" t="s">
        <v>62</v>
      </c>
      <c r="C1282" s="16" t="s">
        <v>155</v>
      </c>
      <c r="D1282" s="11">
        <v>300</v>
      </c>
      <c r="E1282" s="25">
        <f>1.508</f>
        <v>1.508</v>
      </c>
    </row>
    <row r="1283" spans="1:5" ht="17">
      <c r="A1283" s="39" t="s">
        <v>963</v>
      </c>
      <c r="B1283" s="12" t="s">
        <v>62</v>
      </c>
      <c r="C1283" s="16" t="s">
        <v>155</v>
      </c>
      <c r="D1283" s="11">
        <v>310</v>
      </c>
      <c r="E1283" s="25">
        <f>3.188-1.028-1.638</f>
        <v>0.52200000000000024</v>
      </c>
    </row>
    <row r="1284" spans="1:5" ht="17">
      <c r="A1284" s="39" t="s">
        <v>963</v>
      </c>
      <c r="B1284" s="12" t="s">
        <v>62</v>
      </c>
      <c r="C1284" s="11" t="s">
        <v>155</v>
      </c>
      <c r="D1284" s="11">
        <v>320</v>
      </c>
      <c r="E1284" s="25">
        <f>3.13-0.242-0.194-0.046-0.078-0.042</f>
        <v>2.5280000000000005</v>
      </c>
    </row>
    <row r="1285" spans="1:5" ht="17">
      <c r="A1285" s="39" t="s">
        <v>963</v>
      </c>
      <c r="B1285" s="12" t="s">
        <v>62</v>
      </c>
      <c r="C1285" s="11" t="s">
        <v>155</v>
      </c>
      <c r="D1285" s="11">
        <v>320</v>
      </c>
      <c r="E1285" s="25">
        <f>2.53-1.602</f>
        <v>0.92799999999999971</v>
      </c>
    </row>
    <row r="1286" spans="1:5" ht="17">
      <c r="A1286" s="39" t="s">
        <v>963</v>
      </c>
      <c r="B1286" s="12" t="s">
        <v>62</v>
      </c>
      <c r="C1286" s="11" t="s">
        <v>155</v>
      </c>
      <c r="D1286" s="11">
        <v>320</v>
      </c>
      <c r="E1286" s="25">
        <f>2.554</f>
        <v>2.5539999999999998</v>
      </c>
    </row>
    <row r="1287" spans="1:5" ht="17">
      <c r="A1287" s="39" t="s">
        <v>963</v>
      </c>
      <c r="B1287" s="12" t="s">
        <v>62</v>
      </c>
      <c r="C1287" s="11" t="s">
        <v>155</v>
      </c>
      <c r="D1287" s="11">
        <v>330</v>
      </c>
      <c r="E1287" s="25">
        <f>10.712-2.121-6.502</f>
        <v>2.0889999999999995</v>
      </c>
    </row>
    <row r="1288" spans="1:5" ht="17">
      <c r="A1288" s="39" t="s">
        <v>963</v>
      </c>
      <c r="B1288" s="12" t="s">
        <v>62</v>
      </c>
      <c r="C1288" s="11" t="s">
        <v>155</v>
      </c>
      <c r="D1288" s="11">
        <v>340</v>
      </c>
      <c r="E1288" s="25">
        <f>4.069-1.918</f>
        <v>2.1509999999999998</v>
      </c>
    </row>
    <row r="1289" spans="1:5" ht="17">
      <c r="A1289" s="39" t="s">
        <v>963</v>
      </c>
      <c r="B1289" s="12" t="s">
        <v>62</v>
      </c>
      <c r="C1289" s="11" t="s">
        <v>155</v>
      </c>
      <c r="D1289" s="11">
        <v>340</v>
      </c>
      <c r="E1289" s="25">
        <f>4.26-2.13</f>
        <v>2.13</v>
      </c>
    </row>
    <row r="1290" spans="1:5" ht="17">
      <c r="A1290" s="39" t="s">
        <v>963</v>
      </c>
      <c r="B1290" s="1" t="s">
        <v>62</v>
      </c>
      <c r="C1290" s="16" t="s">
        <v>155</v>
      </c>
      <c r="D1290" s="16">
        <v>400</v>
      </c>
      <c r="E1290" s="25">
        <f>3.25-0.096</f>
        <v>3.1539999999999999</v>
      </c>
    </row>
    <row r="1291" spans="1:5" ht="17">
      <c r="A1291" s="39" t="s">
        <v>963</v>
      </c>
      <c r="B1291" s="1" t="s">
        <v>446</v>
      </c>
      <c r="C1291" s="16" t="s">
        <v>155</v>
      </c>
      <c r="D1291" s="16">
        <v>400</v>
      </c>
      <c r="E1291" s="25">
        <f>5.26</f>
        <v>5.26</v>
      </c>
    </row>
    <row r="1292" spans="1:5" ht="17">
      <c r="A1292" s="39" t="s">
        <v>963</v>
      </c>
      <c r="B1292" s="1" t="s">
        <v>62</v>
      </c>
      <c r="C1292" s="16" t="s">
        <v>155</v>
      </c>
      <c r="D1292" s="16">
        <v>410</v>
      </c>
      <c r="E1292" s="25">
        <f>5.025-3.418</f>
        <v>1.6070000000000002</v>
      </c>
    </row>
    <row r="1293" spans="1:5" ht="17">
      <c r="A1293" s="39" t="s">
        <v>963</v>
      </c>
      <c r="B1293" s="1" t="s">
        <v>62</v>
      </c>
      <c r="C1293" s="16" t="s">
        <v>155</v>
      </c>
      <c r="D1293" s="16">
        <v>440</v>
      </c>
      <c r="E1293" s="25">
        <f>4.55</f>
        <v>4.55</v>
      </c>
    </row>
    <row r="1294" spans="1:5" ht="17">
      <c r="A1294" s="39" t="s">
        <v>963</v>
      </c>
      <c r="B1294" s="1" t="s">
        <v>446</v>
      </c>
      <c r="C1294" s="16" t="s">
        <v>155</v>
      </c>
      <c r="D1294" s="16">
        <v>450</v>
      </c>
      <c r="E1294" s="25">
        <f>3.762-1.06-0.178-0.248-0.386-0.076-0.162-0.4</f>
        <v>1.2519999999999998</v>
      </c>
    </row>
    <row r="1295" spans="1:5" ht="17">
      <c r="A1295" s="39" t="s">
        <v>963</v>
      </c>
      <c r="B1295" s="1" t="s">
        <v>446</v>
      </c>
      <c r="C1295" s="16" t="s">
        <v>155</v>
      </c>
      <c r="D1295" s="16">
        <v>450</v>
      </c>
      <c r="E1295" s="25">
        <f>5.384-0.4-2.558</f>
        <v>2.4260000000000002</v>
      </c>
    </row>
    <row r="1296" spans="1:5" ht="17">
      <c r="A1296" s="39" t="s">
        <v>963</v>
      </c>
      <c r="B1296" s="1" t="s">
        <v>62</v>
      </c>
      <c r="C1296" s="16" t="s">
        <v>155</v>
      </c>
      <c r="D1296" s="16">
        <v>500</v>
      </c>
      <c r="E1296" s="25">
        <f>5.882-0.32-0.328-0.64-1.708</f>
        <v>2.8859999999999992</v>
      </c>
    </row>
    <row r="1297" spans="1:5" ht="17">
      <c r="A1297" s="39" t="s">
        <v>963</v>
      </c>
      <c r="B1297" s="1" t="s">
        <v>446</v>
      </c>
      <c r="C1297" s="16" t="s">
        <v>155</v>
      </c>
      <c r="D1297" s="16">
        <v>520</v>
      </c>
      <c r="E1297" s="25">
        <f>3.758</f>
        <v>3.758</v>
      </c>
    </row>
    <row r="1298" spans="1:5" ht="17">
      <c r="A1298" s="39" t="s">
        <v>963</v>
      </c>
      <c r="B1298" s="1" t="s">
        <v>62</v>
      </c>
      <c r="C1298" s="1" t="s">
        <v>197</v>
      </c>
      <c r="D1298" s="16" t="s">
        <v>225</v>
      </c>
      <c r="E1298" s="25">
        <f>2.048-0.509-0.02-0.204-0.292-0.021-0.022-0.021-0.02-0.2-0.021-0.023-0.019-0.038-0.188-0.372</f>
        <v>7.8000000000000014E-2</v>
      </c>
    </row>
    <row r="1299" spans="1:5" ht="17">
      <c r="A1299" s="39" t="s">
        <v>963</v>
      </c>
      <c r="B1299" s="1" t="s">
        <v>62</v>
      </c>
      <c r="C1299" s="1" t="s">
        <v>197</v>
      </c>
      <c r="D1299" s="16" t="s">
        <v>225</v>
      </c>
      <c r="E1299" s="25">
        <f>1.148-0.024</f>
        <v>1.1239999999999999</v>
      </c>
    </row>
    <row r="1300" spans="1:5" ht="17">
      <c r="A1300" s="39" t="s">
        <v>963</v>
      </c>
      <c r="B1300" s="1" t="s">
        <v>62</v>
      </c>
      <c r="C1300" s="1" t="s">
        <v>197</v>
      </c>
      <c r="D1300" s="16" t="s">
        <v>193</v>
      </c>
      <c r="E1300" s="25">
        <f>1.18-0.049-0.105-0.026</f>
        <v>1</v>
      </c>
    </row>
    <row r="1301" spans="1:5" ht="17">
      <c r="A1301" s="39" t="s">
        <v>963</v>
      </c>
      <c r="B1301" s="1" t="s">
        <v>62</v>
      </c>
      <c r="C1301" s="1" t="s">
        <v>197</v>
      </c>
      <c r="D1301" s="16" t="s">
        <v>194</v>
      </c>
      <c r="E1301" s="25">
        <f>1.588-0.145-0.184-0.18</f>
        <v>1.0790000000000002</v>
      </c>
    </row>
    <row r="1302" spans="1:5" ht="17">
      <c r="A1302" s="39" t="s">
        <v>963</v>
      </c>
      <c r="B1302" s="1" t="s">
        <v>62</v>
      </c>
      <c r="C1302" s="1" t="s">
        <v>197</v>
      </c>
      <c r="D1302" s="16" t="s">
        <v>195</v>
      </c>
      <c r="E1302" s="25">
        <f>1.918-0.114-0.045-0.216-0.043-0.045-0.045-0.136-0.046-0.044-0.045</f>
        <v>1.139</v>
      </c>
    </row>
    <row r="1303" spans="1:5" ht="17">
      <c r="A1303" s="39" t="s">
        <v>963</v>
      </c>
      <c r="B1303" s="1" t="s">
        <v>62</v>
      </c>
      <c r="C1303" s="1" t="s">
        <v>197</v>
      </c>
      <c r="D1303" s="16" t="s">
        <v>196</v>
      </c>
      <c r="E1303" s="25">
        <f>1.09-0.048-0.211-0.226-0.046</f>
        <v>0.55900000000000005</v>
      </c>
    </row>
    <row r="1304" spans="1:5" ht="17">
      <c r="A1304" s="39" t="s">
        <v>963</v>
      </c>
      <c r="B1304" s="1" t="s">
        <v>62</v>
      </c>
      <c r="C1304" s="1" t="s">
        <v>197</v>
      </c>
      <c r="D1304" s="16" t="s">
        <v>191</v>
      </c>
      <c r="E1304" s="25">
        <f>3.332-0.286-0.05-0.055-0.053-0.05-0.056-0.055-0.052-0.054-0.057-0.058-0.052</f>
        <v>2.4540000000000002</v>
      </c>
    </row>
    <row r="1305" spans="1:5" ht="17">
      <c r="A1305" s="39" t="s">
        <v>963</v>
      </c>
      <c r="B1305" s="1" t="s">
        <v>62</v>
      </c>
      <c r="C1305" s="1" t="s">
        <v>197</v>
      </c>
      <c r="D1305" s="16" t="s">
        <v>192</v>
      </c>
      <c r="E1305" s="25">
        <f>0.963-0.066-0.138</f>
        <v>0.75900000000000001</v>
      </c>
    </row>
    <row r="1306" spans="1:5" ht="17">
      <c r="A1306" s="39" t="s">
        <v>963</v>
      </c>
      <c r="B1306" s="1" t="s">
        <v>62</v>
      </c>
      <c r="C1306" s="1" t="s">
        <v>197</v>
      </c>
      <c r="D1306" s="16" t="s">
        <v>316</v>
      </c>
      <c r="E1306" s="25">
        <f>1.915-0.515-0.516-0.084-0.352</f>
        <v>0.44799999999999995</v>
      </c>
    </row>
    <row r="1307" spans="1:5" ht="17">
      <c r="A1307" s="39" t="s">
        <v>963</v>
      </c>
      <c r="B1307" s="1" t="s">
        <v>62</v>
      </c>
      <c r="C1307" s="1" t="s">
        <v>197</v>
      </c>
      <c r="D1307" s="16" t="s">
        <v>897</v>
      </c>
      <c r="E1307" s="25">
        <f>0.042-0.014</f>
        <v>2.8000000000000004E-2</v>
      </c>
    </row>
    <row r="1308" spans="1:5" ht="17">
      <c r="A1308" s="39" t="s">
        <v>963</v>
      </c>
      <c r="B1308" s="1" t="s">
        <v>62</v>
      </c>
      <c r="C1308" s="1" t="s">
        <v>197</v>
      </c>
      <c r="D1308" s="16" t="s">
        <v>133</v>
      </c>
      <c r="E1308" s="25">
        <f>1.922-0.428-0.024-0.234-0.016-0.548</f>
        <v>0.67199999999999993</v>
      </c>
    </row>
    <row r="1309" spans="1:5" ht="17">
      <c r="A1309" s="39" t="s">
        <v>963</v>
      </c>
      <c r="B1309" s="1" t="s">
        <v>62</v>
      </c>
      <c r="C1309" s="1" t="s">
        <v>197</v>
      </c>
      <c r="D1309" s="16" t="s">
        <v>133</v>
      </c>
      <c r="E1309" s="25">
        <f>2.258</f>
        <v>2.258</v>
      </c>
    </row>
    <row r="1310" spans="1:5" ht="17">
      <c r="A1310" s="39" t="s">
        <v>963</v>
      </c>
      <c r="B1310" s="1" t="s">
        <v>62</v>
      </c>
      <c r="C1310" s="1" t="s">
        <v>197</v>
      </c>
      <c r="D1310" s="16" t="s">
        <v>133</v>
      </c>
      <c r="E1310" s="25">
        <f>1.088</f>
        <v>1.0880000000000001</v>
      </c>
    </row>
    <row r="1311" spans="1:5" ht="17">
      <c r="A1311" s="39" t="s">
        <v>963</v>
      </c>
      <c r="B1311" s="1" t="s">
        <v>62</v>
      </c>
      <c r="C1311" s="1" t="s">
        <v>197</v>
      </c>
      <c r="D1311" s="16" t="s">
        <v>133</v>
      </c>
      <c r="E1311" s="25">
        <f>1.134</f>
        <v>1.1339999999999999</v>
      </c>
    </row>
    <row r="1312" spans="1:5" ht="17">
      <c r="A1312" s="39" t="s">
        <v>963</v>
      </c>
      <c r="B1312" s="12" t="s">
        <v>62</v>
      </c>
      <c r="C1312" s="12" t="s">
        <v>197</v>
      </c>
      <c r="D1312" s="11" t="s">
        <v>145</v>
      </c>
      <c r="E1312" s="25">
        <f>2.363-1.019-0.332-0.034-0.018-0.048-0.168-0.138-0.024-0.016-0.11-0.012</f>
        <v>0.44399999999999984</v>
      </c>
    </row>
    <row r="1313" spans="1:5" ht="17">
      <c r="A1313" s="39" t="s">
        <v>963</v>
      </c>
      <c r="B1313" s="12" t="s">
        <v>62</v>
      </c>
      <c r="C1313" s="12" t="s">
        <v>197</v>
      </c>
      <c r="D1313" s="11" t="s">
        <v>145</v>
      </c>
      <c r="E1313" s="25">
        <f>0.68</f>
        <v>0.68</v>
      </c>
    </row>
    <row r="1314" spans="1:5" ht="17">
      <c r="A1314" s="39" t="s">
        <v>963</v>
      </c>
      <c r="B1314" s="12" t="s">
        <v>62</v>
      </c>
      <c r="C1314" s="12" t="s">
        <v>197</v>
      </c>
      <c r="D1314" s="11" t="s">
        <v>249</v>
      </c>
      <c r="E1314" s="25">
        <f>2.156-0.015-0.054-0.074-0.025-0.074-0.202-0.184-0.03-0.08-0.238-0.096</f>
        <v>1.0840000000000003</v>
      </c>
    </row>
    <row r="1315" spans="1:5" ht="17">
      <c r="A1315" s="39" t="s">
        <v>963</v>
      </c>
      <c r="B1315" s="1" t="s">
        <v>62</v>
      </c>
      <c r="C1315" s="1" t="s">
        <v>197</v>
      </c>
      <c r="D1315" s="16" t="s">
        <v>126</v>
      </c>
      <c r="E1315" s="25">
        <f>0.072</f>
        <v>7.1999999999999995E-2</v>
      </c>
    </row>
    <row r="1316" spans="1:5" ht="17">
      <c r="A1316" s="39" t="s">
        <v>963</v>
      </c>
      <c r="B1316" s="1" t="s">
        <v>62</v>
      </c>
      <c r="C1316" s="1" t="s">
        <v>197</v>
      </c>
      <c r="D1316" s="16" t="s">
        <v>126</v>
      </c>
      <c r="E1316" s="25">
        <f>2.024-0.99-0.052-0.036-0.158-0.248-0.022-0.126-0.17-0.016-0.022</f>
        <v>0.18399999999999991</v>
      </c>
    </row>
    <row r="1317" spans="1:5" ht="17">
      <c r="A1317" s="39" t="s">
        <v>963</v>
      </c>
      <c r="B1317" s="12" t="s">
        <v>62</v>
      </c>
      <c r="C1317" s="12" t="s">
        <v>197</v>
      </c>
      <c r="D1317" s="11" t="s">
        <v>126</v>
      </c>
      <c r="E1317" s="25">
        <f>3.23-2.685-0.326-0.056</f>
        <v>0.16299999999999992</v>
      </c>
    </row>
    <row r="1318" spans="1:5" ht="17">
      <c r="A1318" s="39" t="s">
        <v>963</v>
      </c>
      <c r="B1318" s="12" t="s">
        <v>62</v>
      </c>
      <c r="C1318" s="12" t="s">
        <v>197</v>
      </c>
      <c r="D1318" s="11" t="s">
        <v>126</v>
      </c>
      <c r="E1318" s="25">
        <f>1.094-0.314-0.032-0.314-0.104</f>
        <v>0.33</v>
      </c>
    </row>
    <row r="1319" spans="1:5" ht="17">
      <c r="A1319" s="39" t="s">
        <v>963</v>
      </c>
      <c r="B1319" s="12" t="s">
        <v>62</v>
      </c>
      <c r="C1319" s="12" t="s">
        <v>197</v>
      </c>
      <c r="D1319" s="11" t="s">
        <v>126</v>
      </c>
      <c r="E1319" s="25">
        <f>2.183-0.525-0.56-0.555-0.54</f>
        <v>2.9999999999997806E-3</v>
      </c>
    </row>
    <row r="1320" spans="1:5" ht="17">
      <c r="A1320" s="39" t="s">
        <v>963</v>
      </c>
      <c r="B1320" s="12" t="s">
        <v>62</v>
      </c>
      <c r="C1320" s="12" t="s">
        <v>197</v>
      </c>
      <c r="D1320" s="11" t="s">
        <v>126</v>
      </c>
      <c r="E1320" s="25">
        <f>1.626</f>
        <v>1.6259999999999999</v>
      </c>
    </row>
    <row r="1321" spans="1:5" ht="17">
      <c r="A1321" s="39" t="s">
        <v>963</v>
      </c>
      <c r="B1321" s="12" t="s">
        <v>62</v>
      </c>
      <c r="C1321" s="12" t="s">
        <v>197</v>
      </c>
      <c r="D1321" s="11" t="s">
        <v>154</v>
      </c>
      <c r="E1321" s="25">
        <f>1.634-0.54-0.498-0.128-0.088</f>
        <v>0.37999999999999989</v>
      </c>
    </row>
    <row r="1322" spans="1:5" ht="17">
      <c r="A1322" s="39" t="s">
        <v>963</v>
      </c>
      <c r="B1322" s="12" t="s">
        <v>62</v>
      </c>
      <c r="C1322" s="12" t="s">
        <v>197</v>
      </c>
      <c r="D1322" s="11" t="s">
        <v>154</v>
      </c>
      <c r="E1322" s="25">
        <f>0.534-0.382</f>
        <v>0.15200000000000002</v>
      </c>
    </row>
    <row r="1323" spans="1:5" ht="17">
      <c r="A1323" s="39" t="s">
        <v>963</v>
      </c>
      <c r="B1323" s="12" t="s">
        <v>62</v>
      </c>
      <c r="C1323" s="12" t="s">
        <v>197</v>
      </c>
      <c r="D1323" s="11" t="s">
        <v>154</v>
      </c>
      <c r="E1323" s="25">
        <f>2.736-0.056-0.04-0.318-0.208-0.128-0.406-0.688-0.131-0.266-0.438</f>
        <v>5.6999999999999662E-2</v>
      </c>
    </row>
    <row r="1324" spans="1:5" ht="17">
      <c r="A1324" s="39" t="s">
        <v>963</v>
      </c>
      <c r="B1324" s="12" t="s">
        <v>62</v>
      </c>
      <c r="C1324" s="12" t="s">
        <v>197</v>
      </c>
      <c r="D1324" s="11" t="s">
        <v>154</v>
      </c>
      <c r="E1324" s="25">
        <f>1.562-1.016-0.254</f>
        <v>0.29200000000000004</v>
      </c>
    </row>
    <row r="1325" spans="1:5" ht="17">
      <c r="A1325" s="39" t="s">
        <v>963</v>
      </c>
      <c r="B1325" s="12" t="s">
        <v>62</v>
      </c>
      <c r="C1325" s="12" t="s">
        <v>197</v>
      </c>
      <c r="D1325" s="11" t="s">
        <v>154</v>
      </c>
      <c r="E1325" s="25">
        <f>3.154-0.514-0.55-0.546</f>
        <v>1.5439999999999998</v>
      </c>
    </row>
    <row r="1326" spans="1:5" ht="17">
      <c r="A1326" s="39" t="s">
        <v>963</v>
      </c>
      <c r="B1326" s="1" t="s">
        <v>62</v>
      </c>
      <c r="C1326" s="1" t="s">
        <v>197</v>
      </c>
      <c r="D1326" s="16" t="s">
        <v>896</v>
      </c>
      <c r="E1326" s="25">
        <v>2.8000000000000001E-2</v>
      </c>
    </row>
    <row r="1327" spans="1:5" ht="17">
      <c r="A1327" s="39" t="s">
        <v>963</v>
      </c>
      <c r="B1327" s="1" t="s">
        <v>62</v>
      </c>
      <c r="C1327" s="1" t="s">
        <v>197</v>
      </c>
      <c r="D1327" s="16" t="s">
        <v>134</v>
      </c>
      <c r="E1327" s="25">
        <f>3.417-0.048-0.226-0.228-0.228-0.336-0.348-0.152-0.364-0.304-0.074-0.237-0.275</f>
        <v>0.59699999999999953</v>
      </c>
    </row>
    <row r="1328" spans="1:5" ht="17">
      <c r="A1328" s="39" t="s">
        <v>963</v>
      </c>
      <c r="B1328" s="1" t="s">
        <v>62</v>
      </c>
      <c r="C1328" s="1" t="s">
        <v>197</v>
      </c>
      <c r="D1328" s="16" t="s">
        <v>134</v>
      </c>
      <c r="E1328" s="25">
        <f>3.236-0.156-2.6</f>
        <v>0.48</v>
      </c>
    </row>
    <row r="1329" spans="1:5" ht="17">
      <c r="A1329" s="39" t="s">
        <v>963</v>
      </c>
      <c r="B1329" s="1" t="s">
        <v>62</v>
      </c>
      <c r="C1329" s="1" t="s">
        <v>197</v>
      </c>
      <c r="D1329" s="16" t="s">
        <v>134</v>
      </c>
      <c r="E1329" s="25">
        <f>6.09</f>
        <v>6.09</v>
      </c>
    </row>
    <row r="1330" spans="1:5" ht="17">
      <c r="A1330" s="39" t="s">
        <v>963</v>
      </c>
      <c r="B1330" s="1" t="s">
        <v>62</v>
      </c>
      <c r="C1330" s="1" t="s">
        <v>197</v>
      </c>
      <c r="D1330" s="16" t="s">
        <v>171</v>
      </c>
      <c r="E1330" s="25">
        <f>2.972-0.026-0.055-1.402-0.154-0.138-0.086-0.82</f>
        <v>0.29100000000000004</v>
      </c>
    </row>
    <row r="1331" spans="1:5" ht="17">
      <c r="A1331" s="39" t="s">
        <v>963</v>
      </c>
      <c r="B1331" s="1" t="s">
        <v>62</v>
      </c>
      <c r="C1331" s="1" t="s">
        <v>197</v>
      </c>
      <c r="D1331" s="16" t="s">
        <v>171</v>
      </c>
      <c r="E1331" s="25">
        <f>2.03</f>
        <v>2.0299999999999998</v>
      </c>
    </row>
    <row r="1332" spans="1:5" ht="17">
      <c r="A1332" s="39" t="s">
        <v>963</v>
      </c>
      <c r="B1332" s="1" t="s">
        <v>62</v>
      </c>
      <c r="C1332" s="1" t="s">
        <v>197</v>
      </c>
      <c r="D1332" s="16" t="s">
        <v>898</v>
      </c>
      <c r="E1332" s="25">
        <f>0.152</f>
        <v>0.152</v>
      </c>
    </row>
    <row r="1333" spans="1:5" ht="17">
      <c r="A1333" s="39" t="s">
        <v>963</v>
      </c>
      <c r="B1333" s="12" t="s">
        <v>62</v>
      </c>
      <c r="C1333" s="12" t="s">
        <v>197</v>
      </c>
      <c r="D1333" s="11" t="s">
        <v>172</v>
      </c>
      <c r="E1333" s="25">
        <f>2.164-0.714-0.084-0.06-0.786-0.244</f>
        <v>0.27600000000000002</v>
      </c>
    </row>
    <row r="1334" spans="1:5" ht="17">
      <c r="A1334" s="39" t="s">
        <v>963</v>
      </c>
      <c r="B1334" s="12" t="s">
        <v>62</v>
      </c>
      <c r="C1334" s="12" t="s">
        <v>155</v>
      </c>
      <c r="D1334" s="11" t="s">
        <v>172</v>
      </c>
      <c r="E1334" s="25">
        <f>1.972-0.638-0.318-0.782</f>
        <v>0.23399999999999999</v>
      </c>
    </row>
    <row r="1335" spans="1:5" ht="17">
      <c r="A1335" s="39" t="s">
        <v>963</v>
      </c>
      <c r="B1335" s="12" t="s">
        <v>62</v>
      </c>
      <c r="C1335" s="12" t="s">
        <v>197</v>
      </c>
      <c r="D1335" s="11" t="s">
        <v>172</v>
      </c>
      <c r="E1335" s="25">
        <f>2.711-0.304-0.298-0.396-0.15-0.376-0.198-0.172-0.63</f>
        <v>0.18700000000000039</v>
      </c>
    </row>
    <row r="1336" spans="1:5" ht="17">
      <c r="A1336" s="39" t="s">
        <v>963</v>
      </c>
      <c r="B1336" s="12" t="s">
        <v>62</v>
      </c>
      <c r="C1336" s="12" t="s">
        <v>197</v>
      </c>
      <c r="D1336" s="11" t="s">
        <v>172</v>
      </c>
      <c r="E1336" s="25">
        <f>5.252-0.164-0.05-0.064-0.138-0.334-0.3-1</f>
        <v>3.2020000000000008</v>
      </c>
    </row>
    <row r="1337" spans="1:5" ht="17">
      <c r="A1337" s="39" t="s">
        <v>963</v>
      </c>
      <c r="B1337" s="12" t="s">
        <v>62</v>
      </c>
      <c r="C1337" s="12" t="s">
        <v>197</v>
      </c>
      <c r="D1337" s="11" t="s">
        <v>172</v>
      </c>
      <c r="E1337" s="25">
        <f>0.692</f>
        <v>0.69199999999999995</v>
      </c>
    </row>
    <row r="1338" spans="1:5" ht="17">
      <c r="A1338" s="39" t="s">
        <v>963</v>
      </c>
      <c r="B1338" s="1" t="s">
        <v>62</v>
      </c>
      <c r="C1338" s="1" t="s">
        <v>197</v>
      </c>
      <c r="D1338" s="16" t="s">
        <v>360</v>
      </c>
      <c r="E1338" s="25">
        <f>1.702-0.154-0.056</f>
        <v>1.492</v>
      </c>
    </row>
    <row r="1339" spans="1:5" ht="17">
      <c r="A1339" s="39" t="s">
        <v>963</v>
      </c>
      <c r="B1339" s="1" t="s">
        <v>62</v>
      </c>
      <c r="C1339" s="1" t="s">
        <v>197</v>
      </c>
      <c r="D1339" s="16" t="s">
        <v>173</v>
      </c>
      <c r="E1339" s="25">
        <f>1.391-0.222-0.855-0.146</f>
        <v>0.16800000000000007</v>
      </c>
    </row>
    <row r="1340" spans="1:5" ht="17">
      <c r="A1340" s="39" t="s">
        <v>963</v>
      </c>
      <c r="B1340" s="12" t="s">
        <v>62</v>
      </c>
      <c r="C1340" s="1" t="s">
        <v>155</v>
      </c>
      <c r="D1340" s="11" t="s">
        <v>723</v>
      </c>
      <c r="E1340" s="25">
        <f>2.352-0.802-0.244-0.594-0.356-0.21-(0.038)</f>
        <v>0.10799999999999987</v>
      </c>
    </row>
    <row r="1341" spans="1:5" ht="17">
      <c r="A1341" s="39" t="s">
        <v>963</v>
      </c>
      <c r="B1341" s="12" t="s">
        <v>62</v>
      </c>
      <c r="C1341" s="1" t="s">
        <v>155</v>
      </c>
      <c r="D1341" s="11" t="s">
        <v>127</v>
      </c>
      <c r="E1341" s="25">
        <f>5.44-0.8-0.33-0.426-0.692</f>
        <v>3.1920000000000002</v>
      </c>
    </row>
    <row r="1342" spans="1:5" ht="17">
      <c r="A1342" s="39" t="s">
        <v>963</v>
      </c>
      <c r="B1342" s="1" t="s">
        <v>62</v>
      </c>
      <c r="C1342" s="1" t="s">
        <v>197</v>
      </c>
      <c r="D1342" s="16" t="s">
        <v>658</v>
      </c>
      <c r="E1342" s="25">
        <f>0.99-0.046-0.394-0.23-(0.004)-0.022</f>
        <v>0.29399999999999993</v>
      </c>
    </row>
    <row r="1343" spans="1:5" ht="17">
      <c r="A1343" s="39" t="s">
        <v>963</v>
      </c>
      <c r="B1343" s="1" t="s">
        <v>62</v>
      </c>
      <c r="C1343" s="1" t="s">
        <v>155</v>
      </c>
      <c r="D1343" s="16" t="s">
        <v>183</v>
      </c>
      <c r="E1343" s="25">
        <f>0.978-0.06-0.082-0.02-0.404-0.116-0.096</f>
        <v>0.19999999999999993</v>
      </c>
    </row>
    <row r="1344" spans="1:5" ht="17">
      <c r="A1344" s="39" t="s">
        <v>963</v>
      </c>
      <c r="B1344" s="12" t="s">
        <v>62</v>
      </c>
      <c r="C1344" s="12" t="s">
        <v>155</v>
      </c>
      <c r="D1344" s="11" t="s">
        <v>183</v>
      </c>
      <c r="E1344" s="25">
        <f>2.882-0.96-0.382-1.104-0.324</f>
        <v>0.11199999999999993</v>
      </c>
    </row>
    <row r="1345" spans="1:5" ht="17">
      <c r="A1345" s="39" t="s">
        <v>963</v>
      </c>
      <c r="B1345" s="12" t="s">
        <v>62</v>
      </c>
      <c r="C1345" s="12" t="s">
        <v>155</v>
      </c>
      <c r="D1345" s="11" t="s">
        <v>183</v>
      </c>
      <c r="E1345" s="25">
        <f>2.842-1.03-0.294-0.31-0.344</f>
        <v>0.86399999999999999</v>
      </c>
    </row>
    <row r="1346" spans="1:5" ht="17">
      <c r="A1346" s="39" t="s">
        <v>963</v>
      </c>
      <c r="B1346" s="12" t="s">
        <v>62</v>
      </c>
      <c r="C1346" s="12" t="s">
        <v>155</v>
      </c>
      <c r="D1346" s="11" t="s">
        <v>183</v>
      </c>
      <c r="E1346" s="25">
        <f>6.05-0.958-0.61-0.402-0.66-1.031-0.3-1.5</f>
        <v>0.58899999999999952</v>
      </c>
    </row>
    <row r="1347" spans="1:5" ht="17">
      <c r="A1347" s="39" t="s">
        <v>963</v>
      </c>
      <c r="B1347" s="1" t="s">
        <v>62</v>
      </c>
      <c r="C1347" s="1" t="s">
        <v>197</v>
      </c>
      <c r="D1347" s="16" t="s">
        <v>284</v>
      </c>
      <c r="E1347" s="25">
        <f>0.285-0.06-0.014</f>
        <v>0.21099999999999997</v>
      </c>
    </row>
    <row r="1348" spans="1:5" ht="17">
      <c r="A1348" s="39" t="s">
        <v>963</v>
      </c>
      <c r="B1348" s="1" t="s">
        <v>62</v>
      </c>
      <c r="C1348" s="1" t="s">
        <v>155</v>
      </c>
      <c r="D1348" s="16" t="s">
        <v>128</v>
      </c>
      <c r="E1348" s="25">
        <f>1.228-0.108-0.216-0.52-0.11</f>
        <v>0.27399999999999991</v>
      </c>
    </row>
    <row r="1349" spans="1:5" ht="17">
      <c r="A1349" s="39" t="s">
        <v>963</v>
      </c>
      <c r="B1349" s="1" t="s">
        <v>62</v>
      </c>
      <c r="C1349" s="1" t="s">
        <v>155</v>
      </c>
      <c r="D1349" s="16" t="s">
        <v>128</v>
      </c>
      <c r="E1349" s="25">
        <f>2.566-0.826-0.25-0.104-0.35-0.5</f>
        <v>0.53599999999999959</v>
      </c>
    </row>
    <row r="1350" spans="1:5" ht="17">
      <c r="A1350" s="39" t="s">
        <v>963</v>
      </c>
      <c r="B1350" s="1" t="s">
        <v>62</v>
      </c>
      <c r="C1350" s="1" t="s">
        <v>155</v>
      </c>
      <c r="D1350" s="16" t="s">
        <v>128</v>
      </c>
      <c r="E1350" s="25">
        <f>2.54-1.588-0.392-0.108-0.136</f>
        <v>0.31599999999999995</v>
      </c>
    </row>
    <row r="1351" spans="1:5" ht="17">
      <c r="A1351" s="39" t="s">
        <v>963</v>
      </c>
      <c r="B1351" s="1" t="s">
        <v>62</v>
      </c>
      <c r="C1351" s="1" t="s">
        <v>155</v>
      </c>
      <c r="D1351" s="16" t="s">
        <v>128</v>
      </c>
      <c r="E1351" s="25">
        <f>2.35-0.3</f>
        <v>2.0500000000000003</v>
      </c>
    </row>
    <row r="1352" spans="1:5" ht="17">
      <c r="A1352" s="39" t="s">
        <v>963</v>
      </c>
      <c r="B1352" s="1" t="s">
        <v>62</v>
      </c>
      <c r="C1352" s="1" t="s">
        <v>155</v>
      </c>
      <c r="D1352" s="16" t="s">
        <v>128</v>
      </c>
      <c r="E1352" s="25">
        <f>2.546</f>
        <v>2.5459999999999998</v>
      </c>
    </row>
    <row r="1353" spans="1:5" ht="17">
      <c r="A1353" s="39" t="s">
        <v>963</v>
      </c>
      <c r="B1353" s="1" t="s">
        <v>62</v>
      </c>
      <c r="C1353" s="1" t="s">
        <v>155</v>
      </c>
      <c r="D1353" s="16" t="s">
        <v>213</v>
      </c>
      <c r="E1353" s="25">
        <f>2.48-1.225-0.232-0.396-0.1</f>
        <v>0.52699999999999991</v>
      </c>
    </row>
    <row r="1354" spans="1:5" ht="17">
      <c r="A1354" s="39" t="s">
        <v>963</v>
      </c>
      <c r="B1354" s="1" t="s">
        <v>62</v>
      </c>
      <c r="C1354" s="1" t="s">
        <v>155</v>
      </c>
      <c r="D1354" s="16" t="s">
        <v>213</v>
      </c>
      <c r="E1354" s="25">
        <f>2.655-1.323-0.5</f>
        <v>0.83199999999999985</v>
      </c>
    </row>
    <row r="1355" spans="1:5" ht="17">
      <c r="A1355" s="39" t="s">
        <v>963</v>
      </c>
      <c r="B1355" s="1" t="s">
        <v>62</v>
      </c>
      <c r="C1355" s="1" t="s">
        <v>155</v>
      </c>
      <c r="D1355" s="16" t="s">
        <v>213</v>
      </c>
      <c r="E1355" s="25">
        <f>2.546</f>
        <v>2.5459999999999998</v>
      </c>
    </row>
    <row r="1356" spans="1:5" ht="17">
      <c r="A1356" s="39" t="s">
        <v>963</v>
      </c>
      <c r="B1356" s="1" t="s">
        <v>62</v>
      </c>
      <c r="C1356" s="1" t="s">
        <v>155</v>
      </c>
      <c r="D1356" s="16" t="s">
        <v>387</v>
      </c>
      <c r="E1356" s="25">
        <f>0.062</f>
        <v>6.2E-2</v>
      </c>
    </row>
    <row r="1357" spans="1:5" ht="17">
      <c r="A1357" s="39" t="s">
        <v>963</v>
      </c>
      <c r="B1357" s="1" t="s">
        <v>62</v>
      </c>
      <c r="C1357" s="1" t="s">
        <v>155</v>
      </c>
      <c r="D1357" s="16" t="s">
        <v>177</v>
      </c>
      <c r="E1357" s="25">
        <f>3.104-0.184-0.404-0.39-0.404-0.5-0.3</f>
        <v>0.92199999999999993</v>
      </c>
    </row>
    <row r="1358" spans="1:5" ht="17">
      <c r="A1358" s="39" t="s">
        <v>963</v>
      </c>
      <c r="B1358" s="1" t="s">
        <v>62</v>
      </c>
      <c r="C1358" s="1" t="s">
        <v>155</v>
      </c>
      <c r="D1358" s="16" t="s">
        <v>177</v>
      </c>
      <c r="E1358" s="25">
        <f>3.492-0.7</f>
        <v>2.7919999999999998</v>
      </c>
    </row>
    <row r="1359" spans="1:5" ht="17">
      <c r="A1359" s="39" t="s">
        <v>963</v>
      </c>
      <c r="B1359" s="1" t="s">
        <v>62</v>
      </c>
      <c r="C1359" s="1" t="s">
        <v>155</v>
      </c>
      <c r="D1359" s="16" t="s">
        <v>283</v>
      </c>
      <c r="E1359" s="25">
        <f>2.856-0.92-(0.022)-0.99-0.852-(0.06)</f>
        <v>1.1999999999999955E-2</v>
      </c>
    </row>
    <row r="1360" spans="1:5" ht="17">
      <c r="A1360" s="39" t="s">
        <v>963</v>
      </c>
      <c r="B1360" s="1" t="s">
        <v>62</v>
      </c>
      <c r="C1360" s="1" t="s">
        <v>155</v>
      </c>
      <c r="D1360" s="16" t="s">
        <v>283</v>
      </c>
      <c r="E1360" s="25">
        <f>3.374-2</f>
        <v>1.3740000000000001</v>
      </c>
    </row>
    <row r="1361" spans="1:5" ht="17">
      <c r="A1361" s="39" t="s">
        <v>963</v>
      </c>
      <c r="B1361" s="1" t="s">
        <v>62</v>
      </c>
      <c r="C1361" s="1" t="s">
        <v>155</v>
      </c>
      <c r="D1361" s="16" t="s">
        <v>137</v>
      </c>
      <c r="E1361" s="25">
        <f>1.772-0.098-0.062-0.082-0.206</f>
        <v>1.3239999999999998</v>
      </c>
    </row>
    <row r="1362" spans="1:5" ht="17">
      <c r="A1362" s="39" t="s">
        <v>963</v>
      </c>
      <c r="B1362" s="1" t="s">
        <v>62</v>
      </c>
      <c r="C1362" s="1" t="s">
        <v>155</v>
      </c>
      <c r="D1362" s="16" t="s">
        <v>388</v>
      </c>
      <c r="E1362" s="25">
        <f>0.062</f>
        <v>6.2E-2</v>
      </c>
    </row>
    <row r="1363" spans="1:5" ht="17">
      <c r="A1363" s="39" t="s">
        <v>963</v>
      </c>
      <c r="B1363" s="1" t="s">
        <v>62</v>
      </c>
      <c r="C1363" s="1" t="s">
        <v>155</v>
      </c>
      <c r="D1363" s="16" t="s">
        <v>137</v>
      </c>
      <c r="E1363" s="25">
        <f>3.403</f>
        <v>3.403</v>
      </c>
    </row>
    <row r="1364" spans="1:5" ht="17">
      <c r="A1364" s="39" t="s">
        <v>963</v>
      </c>
      <c r="B1364" s="1" t="s">
        <v>62</v>
      </c>
      <c r="C1364" s="1" t="s">
        <v>197</v>
      </c>
      <c r="D1364" s="16" t="s">
        <v>164</v>
      </c>
      <c r="E1364" s="25">
        <f>0.92-0.815-0.02-0.012</f>
        <v>7.3000000000000093E-2</v>
      </c>
    </row>
    <row r="1365" spans="1:5" ht="17">
      <c r="A1365" s="39" t="s">
        <v>963</v>
      </c>
      <c r="B1365" s="1" t="s">
        <v>62</v>
      </c>
      <c r="C1365" s="1" t="s">
        <v>197</v>
      </c>
      <c r="D1365" s="16" t="s">
        <v>129</v>
      </c>
      <c r="E1365" s="25">
        <f>1.746-0.626-0.202-0.109-0.3</f>
        <v>0.50900000000000012</v>
      </c>
    </row>
    <row r="1366" spans="1:5" ht="17">
      <c r="A1366" s="39" t="s">
        <v>963</v>
      </c>
      <c r="B1366" s="1" t="s">
        <v>62</v>
      </c>
      <c r="C1366" s="1" t="s">
        <v>155</v>
      </c>
      <c r="D1366" s="16" t="s">
        <v>129</v>
      </c>
      <c r="E1366" s="25">
        <f>1.7</f>
        <v>1.7</v>
      </c>
    </row>
    <row r="1367" spans="1:5" ht="17">
      <c r="A1367" s="39" t="s">
        <v>963</v>
      </c>
      <c r="B1367" s="1" t="s">
        <v>62</v>
      </c>
      <c r="C1367" s="1" t="s">
        <v>155</v>
      </c>
      <c r="D1367" s="16" t="s">
        <v>129</v>
      </c>
      <c r="E1367" s="25">
        <f>2.05</f>
        <v>2.0499999999999998</v>
      </c>
    </row>
    <row r="1368" spans="1:5" ht="17">
      <c r="A1368" s="39" t="s">
        <v>963</v>
      </c>
      <c r="B1368" s="1" t="s">
        <v>62</v>
      </c>
      <c r="C1368" s="1" t="s">
        <v>155</v>
      </c>
      <c r="D1368" s="16" t="s">
        <v>125</v>
      </c>
      <c r="E1368" s="25">
        <f>1.71-1.266</f>
        <v>0.44399999999999995</v>
      </c>
    </row>
    <row r="1369" spans="1:5" ht="17">
      <c r="A1369" s="39" t="s">
        <v>963</v>
      </c>
      <c r="B1369" s="1" t="s">
        <v>62</v>
      </c>
      <c r="C1369" s="1" t="s">
        <v>155</v>
      </c>
      <c r="D1369" s="16" t="s">
        <v>125</v>
      </c>
      <c r="E1369" s="25">
        <f>1.97</f>
        <v>1.97</v>
      </c>
    </row>
    <row r="1370" spans="1:5" ht="17">
      <c r="A1370" s="39" t="s">
        <v>963</v>
      </c>
      <c r="B1370" s="1" t="s">
        <v>62</v>
      </c>
      <c r="C1370" s="1" t="s">
        <v>197</v>
      </c>
      <c r="D1370" s="16" t="s">
        <v>130</v>
      </c>
      <c r="E1370" s="25">
        <f>2.42-(0.006)-0.25-0.356-0.386-0.5-0.502</f>
        <v>0.42000000000000015</v>
      </c>
    </row>
    <row r="1371" spans="1:5" ht="17">
      <c r="A1371" s="39" t="s">
        <v>963</v>
      </c>
      <c r="B1371" s="1" t="s">
        <v>62</v>
      </c>
      <c r="C1371" s="1" t="s">
        <v>155</v>
      </c>
      <c r="D1371" s="16" t="s">
        <v>130</v>
      </c>
      <c r="E1371" s="25">
        <f>2.016</f>
        <v>2.016</v>
      </c>
    </row>
    <row r="1372" spans="1:5" ht="17">
      <c r="A1372" s="39" t="s">
        <v>963</v>
      </c>
      <c r="B1372" s="1" t="s">
        <v>62</v>
      </c>
      <c r="C1372" s="1" t="s">
        <v>155</v>
      </c>
      <c r="D1372" s="16" t="s">
        <v>130</v>
      </c>
      <c r="E1372" s="25">
        <f>2.478</f>
        <v>2.4780000000000002</v>
      </c>
    </row>
    <row r="1373" spans="1:5" ht="17">
      <c r="A1373" s="39" t="s">
        <v>963</v>
      </c>
      <c r="B1373" s="1" t="s">
        <v>62</v>
      </c>
      <c r="C1373" s="1" t="s">
        <v>197</v>
      </c>
      <c r="D1373" s="16" t="s">
        <v>178</v>
      </c>
      <c r="E1373" s="25">
        <f>3.168-1.574-0.01-1.124-0.036</f>
        <v>0.42399999999999999</v>
      </c>
    </row>
    <row r="1374" spans="1:5" ht="17">
      <c r="A1374" s="39" t="s">
        <v>963</v>
      </c>
      <c r="B1374" s="1" t="s">
        <v>62</v>
      </c>
      <c r="C1374" s="1" t="s">
        <v>155</v>
      </c>
      <c r="D1374" s="16" t="s">
        <v>256</v>
      </c>
      <c r="E1374" s="25">
        <f>4.342-0.324</f>
        <v>4.0179999999999998</v>
      </c>
    </row>
    <row r="1375" spans="1:5" ht="17">
      <c r="A1375" s="39" t="s">
        <v>963</v>
      </c>
      <c r="B1375" s="1" t="s">
        <v>62</v>
      </c>
      <c r="C1375" s="1" t="s">
        <v>155</v>
      </c>
      <c r="D1375" s="16" t="s">
        <v>609</v>
      </c>
      <c r="E1375" s="25">
        <f>2.528-1.312</f>
        <v>1.216</v>
      </c>
    </row>
    <row r="1376" spans="1:5" ht="17">
      <c r="A1376" s="39" t="s">
        <v>963</v>
      </c>
      <c r="B1376" s="1" t="s">
        <v>62</v>
      </c>
      <c r="C1376" s="1" t="s">
        <v>155</v>
      </c>
      <c r="D1376" s="16" t="s">
        <v>250</v>
      </c>
      <c r="E1376" s="25">
        <f>5.364-0.108-0.084-2.388-0.726-0.72</f>
        <v>1.3380000000000007</v>
      </c>
    </row>
    <row r="1377" spans="1:5" ht="17">
      <c r="A1377" s="39" t="s">
        <v>963</v>
      </c>
      <c r="B1377" s="1" t="s">
        <v>62</v>
      </c>
      <c r="C1377" s="1" t="s">
        <v>155</v>
      </c>
      <c r="D1377" s="16" t="s">
        <v>351</v>
      </c>
      <c r="E1377" s="25">
        <f>0.72</f>
        <v>0.72</v>
      </c>
    </row>
    <row r="1378" spans="1:5" ht="17">
      <c r="A1378" s="39" t="s">
        <v>963</v>
      </c>
      <c r="B1378" s="1" t="s">
        <v>62</v>
      </c>
      <c r="C1378" s="1" t="s">
        <v>155</v>
      </c>
      <c r="D1378" s="16" t="s">
        <v>250</v>
      </c>
      <c r="E1378" s="25">
        <f>6.065-0.022</f>
        <v>6.0430000000000001</v>
      </c>
    </row>
    <row r="1379" spans="1:5" ht="17">
      <c r="A1379" s="39" t="s">
        <v>963</v>
      </c>
      <c r="B1379" s="1" t="s">
        <v>62</v>
      </c>
      <c r="C1379" s="1" t="s">
        <v>155</v>
      </c>
      <c r="D1379" s="16" t="s">
        <v>185</v>
      </c>
      <c r="E1379" s="25">
        <f>2.488-0.322</f>
        <v>2.1659999999999999</v>
      </c>
    </row>
    <row r="1380" spans="1:5" ht="17">
      <c r="A1380" s="39" t="s">
        <v>963</v>
      </c>
      <c r="B1380" s="1" t="s">
        <v>147</v>
      </c>
      <c r="C1380" s="16" t="s">
        <v>104</v>
      </c>
      <c r="D1380" s="16">
        <v>15</v>
      </c>
      <c r="E1380" s="26">
        <f>0.4-0.28-0.015</f>
        <v>0.105</v>
      </c>
    </row>
    <row r="1381" spans="1:5" ht="17">
      <c r="A1381" s="39" t="s">
        <v>963</v>
      </c>
      <c r="B1381" s="1" t="s">
        <v>147</v>
      </c>
      <c r="C1381" s="16" t="s">
        <v>104</v>
      </c>
      <c r="D1381" s="16">
        <v>40</v>
      </c>
      <c r="E1381" s="26">
        <f>0.112-0.072</f>
        <v>4.0000000000000008E-2</v>
      </c>
    </row>
    <row r="1382" spans="1:5" ht="17">
      <c r="A1382" s="39" t="s">
        <v>963</v>
      </c>
      <c r="B1382" s="1" t="s">
        <v>147</v>
      </c>
      <c r="C1382" s="16" t="s">
        <v>155</v>
      </c>
      <c r="D1382" s="16">
        <v>60</v>
      </c>
      <c r="E1382" s="25">
        <f>2.51-2.017</f>
        <v>0.49299999999999988</v>
      </c>
    </row>
    <row r="1383" spans="1:5" ht="17">
      <c r="A1383" s="39" t="s">
        <v>963</v>
      </c>
      <c r="B1383" s="1" t="s">
        <v>147</v>
      </c>
      <c r="C1383" s="16" t="s">
        <v>155</v>
      </c>
      <c r="D1383" s="16">
        <v>80</v>
      </c>
      <c r="E1383" s="25">
        <f>3.415</f>
        <v>3.415</v>
      </c>
    </row>
    <row r="1384" spans="1:5" ht="17">
      <c r="A1384" s="39" t="s">
        <v>963</v>
      </c>
      <c r="B1384" s="1" t="s">
        <v>147</v>
      </c>
      <c r="C1384" s="16" t="s">
        <v>104</v>
      </c>
      <c r="D1384" s="16">
        <v>100</v>
      </c>
      <c r="E1384" s="26">
        <f>0.215</f>
        <v>0.215</v>
      </c>
    </row>
    <row r="1385" spans="1:5" ht="17">
      <c r="A1385" s="39" t="s">
        <v>963</v>
      </c>
      <c r="B1385" s="1" t="s">
        <v>147</v>
      </c>
      <c r="C1385" s="16" t="s">
        <v>155</v>
      </c>
      <c r="D1385" s="16">
        <v>100</v>
      </c>
      <c r="E1385" s="25">
        <f>2.786-2.29-0.064</f>
        <v>0.432</v>
      </c>
    </row>
    <row r="1386" spans="1:5" ht="17">
      <c r="A1386" s="39" t="s">
        <v>963</v>
      </c>
      <c r="B1386" s="1" t="s">
        <v>147</v>
      </c>
      <c r="C1386" s="1" t="s">
        <v>155</v>
      </c>
      <c r="D1386" s="16">
        <v>220</v>
      </c>
      <c r="E1386" s="26">
        <f>8.924-5.173</f>
        <v>3.7509999999999994</v>
      </c>
    </row>
    <row r="1387" spans="1:5" ht="17">
      <c r="A1387" s="39" t="s">
        <v>963</v>
      </c>
      <c r="B1387" s="1" t="s">
        <v>147</v>
      </c>
      <c r="C1387" s="1" t="s">
        <v>155</v>
      </c>
      <c r="D1387" s="16">
        <v>300</v>
      </c>
      <c r="E1387" s="26">
        <f>4.828-3.198</f>
        <v>1.6300000000000003</v>
      </c>
    </row>
    <row r="1388" spans="1:5" ht="17">
      <c r="A1388" s="39" t="s">
        <v>963</v>
      </c>
      <c r="B1388" s="1" t="s">
        <v>147</v>
      </c>
      <c r="C1388" s="1" t="s">
        <v>155</v>
      </c>
      <c r="D1388" s="16" t="s">
        <v>742</v>
      </c>
      <c r="E1388" s="26">
        <f>1.65</f>
        <v>1.65</v>
      </c>
    </row>
    <row r="1389" spans="1:5" ht="17">
      <c r="A1389" s="39" t="s">
        <v>963</v>
      </c>
      <c r="B1389" s="16" t="s">
        <v>99</v>
      </c>
      <c r="C1389" s="16" t="s">
        <v>102</v>
      </c>
      <c r="D1389" s="16" t="s">
        <v>111</v>
      </c>
      <c r="E1389" s="25">
        <f>0.11-0.1</f>
        <v>9.999999999999995E-3</v>
      </c>
    </row>
    <row r="1390" spans="1:5" ht="17">
      <c r="A1390" s="39" t="s">
        <v>963</v>
      </c>
      <c r="B1390" s="16" t="s">
        <v>99</v>
      </c>
      <c r="C1390" s="16" t="s">
        <v>102</v>
      </c>
      <c r="D1390" s="16" t="s">
        <v>112</v>
      </c>
      <c r="E1390" s="26">
        <v>0.129</v>
      </c>
    </row>
    <row r="1391" spans="1:5" ht="17">
      <c r="A1391" s="39" t="s">
        <v>963</v>
      </c>
      <c r="B1391" s="16" t="s">
        <v>99</v>
      </c>
      <c r="C1391" s="16" t="s">
        <v>102</v>
      </c>
      <c r="D1391" s="16" t="s">
        <v>103</v>
      </c>
      <c r="E1391" s="25">
        <f>0.15-0.05-0.049-0.02-0.03</f>
        <v>9.9999999999999048E-4</v>
      </c>
    </row>
    <row r="1392" spans="1:5" ht="17">
      <c r="A1392" s="39" t="s">
        <v>963</v>
      </c>
      <c r="B1392" s="6" t="s">
        <v>58</v>
      </c>
      <c r="C1392" s="16" t="s">
        <v>102</v>
      </c>
      <c r="D1392" s="16" t="s">
        <v>122</v>
      </c>
      <c r="E1392" s="26">
        <f>0.05-0.005-0.015</f>
        <v>3.0000000000000006E-2</v>
      </c>
    </row>
    <row r="1393" spans="1:5" ht="17">
      <c r="A1393" s="39" t="s">
        <v>963</v>
      </c>
      <c r="B1393" s="6" t="s">
        <v>218</v>
      </c>
      <c r="C1393" s="16" t="s">
        <v>219</v>
      </c>
      <c r="D1393" s="16">
        <v>180</v>
      </c>
      <c r="E1393" s="26">
        <f>0.3337-0.167</f>
        <v>0.16669999999999999</v>
      </c>
    </row>
    <row r="1394" spans="1:5" ht="17">
      <c r="A1394" s="39" t="s">
        <v>963</v>
      </c>
      <c r="B1394" s="6" t="s">
        <v>218</v>
      </c>
      <c r="C1394" s="16" t="s">
        <v>219</v>
      </c>
      <c r="D1394" s="16">
        <v>190</v>
      </c>
      <c r="E1394" s="26">
        <f>0.31-0.042</f>
        <v>0.26800000000000002</v>
      </c>
    </row>
    <row r="1395" spans="1:5" ht="17">
      <c r="A1395" s="39" t="s">
        <v>963</v>
      </c>
      <c r="B1395" s="6" t="s">
        <v>100</v>
      </c>
      <c r="C1395" s="6" t="s">
        <v>101</v>
      </c>
      <c r="D1395" s="16">
        <v>65</v>
      </c>
      <c r="E1395" s="26">
        <f>0.146-0.104+0.006</f>
        <v>4.7999999999999994E-2</v>
      </c>
    </row>
    <row r="1396" spans="1:5" ht="17">
      <c r="A1396" s="39" t="s">
        <v>963</v>
      </c>
      <c r="B1396" s="6" t="s">
        <v>100</v>
      </c>
      <c r="C1396" s="6" t="s">
        <v>101</v>
      </c>
      <c r="D1396" s="16">
        <v>170</v>
      </c>
      <c r="E1396" s="25">
        <f>0.56-0.032</f>
        <v>0.52800000000000002</v>
      </c>
    </row>
    <row r="1397" spans="1:5" ht="17">
      <c r="A1397" s="39" t="s">
        <v>963</v>
      </c>
      <c r="B1397" s="6" t="s">
        <v>144</v>
      </c>
      <c r="C1397" s="6" t="s">
        <v>101</v>
      </c>
      <c r="D1397" s="16">
        <v>8</v>
      </c>
      <c r="E1397" s="25">
        <v>6.7000000000000002E-3</v>
      </c>
    </row>
    <row r="1398" spans="1:5" ht="17">
      <c r="A1398" s="39" t="s">
        <v>963</v>
      </c>
      <c r="B1398" s="5" t="s">
        <v>140</v>
      </c>
      <c r="C1398" s="5" t="s">
        <v>900</v>
      </c>
      <c r="D1398" s="10">
        <v>120</v>
      </c>
      <c r="E1398" s="29">
        <f>0.1</f>
        <v>0.1</v>
      </c>
    </row>
    <row r="1399" spans="1:5" ht="17">
      <c r="A1399" s="39" t="s">
        <v>963</v>
      </c>
      <c r="B1399" s="5" t="s">
        <v>106</v>
      </c>
      <c r="C1399" s="13" t="s">
        <v>107</v>
      </c>
      <c r="D1399" s="10">
        <v>85</v>
      </c>
      <c r="E1399" s="29">
        <f>1.55-1.095-0.05-0.014-0.21</f>
        <v>0.18100000000000008</v>
      </c>
    </row>
    <row r="1400" spans="1:5" ht="17">
      <c r="A1400" s="39" t="s">
        <v>963</v>
      </c>
      <c r="B1400" s="5" t="s">
        <v>24</v>
      </c>
      <c r="C1400" s="13" t="s">
        <v>143</v>
      </c>
      <c r="D1400" s="10">
        <v>40</v>
      </c>
      <c r="E1400" s="29">
        <f>0.06-0.016-0.002</f>
        <v>4.1999999999999996E-2</v>
      </c>
    </row>
    <row r="1401" spans="1:5" ht="17">
      <c r="A1401" s="39" t="s">
        <v>963</v>
      </c>
      <c r="B1401" s="5" t="s">
        <v>24</v>
      </c>
      <c r="C1401" s="13" t="s">
        <v>143</v>
      </c>
      <c r="D1401" s="10">
        <v>70</v>
      </c>
      <c r="E1401" s="29">
        <f>0.182-0.015+0.001</f>
        <v>0.16799999999999998</v>
      </c>
    </row>
    <row r="1402" spans="1:5" ht="17">
      <c r="A1402" s="39" t="s">
        <v>963</v>
      </c>
      <c r="B1402" s="5" t="s">
        <v>24</v>
      </c>
      <c r="C1402" s="13" t="s">
        <v>143</v>
      </c>
      <c r="D1402" s="10">
        <v>190</v>
      </c>
      <c r="E1402" s="29">
        <f>0.534-0.374</f>
        <v>0.16000000000000003</v>
      </c>
    </row>
    <row r="1403" spans="1:5" ht="17">
      <c r="A1403" s="39" t="s">
        <v>963</v>
      </c>
      <c r="B1403" s="5" t="s">
        <v>24</v>
      </c>
      <c r="C1403" s="13" t="s">
        <v>143</v>
      </c>
      <c r="D1403" s="10">
        <v>200</v>
      </c>
      <c r="E1403" s="29">
        <f>0.8-0.418+0.002</f>
        <v>0.38400000000000006</v>
      </c>
    </row>
    <row r="1404" spans="1:5" ht="17">
      <c r="A1404" s="39" t="s">
        <v>963</v>
      </c>
      <c r="B1404" s="2" t="s">
        <v>139</v>
      </c>
      <c r="C1404" s="2" t="s">
        <v>303</v>
      </c>
      <c r="D1404" s="10">
        <v>110</v>
      </c>
      <c r="E1404" s="27">
        <f>0.4-0.246</f>
        <v>0.15400000000000003</v>
      </c>
    </row>
    <row r="1405" spans="1:5" ht="17">
      <c r="A1405" s="39" t="s">
        <v>963</v>
      </c>
      <c r="B1405" s="2" t="s">
        <v>139</v>
      </c>
      <c r="C1405" s="2" t="s">
        <v>532</v>
      </c>
      <c r="D1405" s="10">
        <v>360</v>
      </c>
      <c r="E1405" s="27">
        <f>5.317-1.784</f>
        <v>3.5330000000000004</v>
      </c>
    </row>
    <row r="1406" spans="1:5" ht="17">
      <c r="A1406" s="39" t="s">
        <v>963</v>
      </c>
      <c r="B1406" s="2" t="s">
        <v>139</v>
      </c>
      <c r="C1406" s="2" t="s">
        <v>497</v>
      </c>
      <c r="D1406" s="10" t="s">
        <v>495</v>
      </c>
      <c r="E1406" s="27">
        <f>0.3</f>
        <v>0.3</v>
      </c>
    </row>
    <row r="1407" spans="1:5" ht="17">
      <c r="A1407" s="39" t="s">
        <v>963</v>
      </c>
      <c r="B1407" s="2" t="s">
        <v>139</v>
      </c>
      <c r="C1407" s="2" t="s">
        <v>268</v>
      </c>
      <c r="D1407" s="10" t="s">
        <v>375</v>
      </c>
      <c r="E1407" s="27">
        <f>0.11</f>
        <v>0.11</v>
      </c>
    </row>
    <row r="1408" spans="1:5" ht="17">
      <c r="A1408" s="39" t="s">
        <v>963</v>
      </c>
      <c r="B1408" s="2" t="s">
        <v>139</v>
      </c>
      <c r="C1408" s="2" t="s">
        <v>497</v>
      </c>
      <c r="D1408" s="10" t="s">
        <v>496</v>
      </c>
      <c r="E1408" s="27">
        <f>0.31</f>
        <v>0.31</v>
      </c>
    </row>
    <row r="1409" spans="1:5" ht="18" thickBot="1">
      <c r="A1409" s="40" t="s">
        <v>963</v>
      </c>
      <c r="B1409" s="23" t="s">
        <v>139</v>
      </c>
      <c r="C1409" s="23" t="s">
        <v>268</v>
      </c>
      <c r="D1409" s="24" t="s">
        <v>277</v>
      </c>
      <c r="E1409" s="37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2024-12-19T10:42:03Z</cp:lastPrinted>
  <dcterms:created xsi:type="dcterms:W3CDTF">2010-04-30T05:40:59Z</dcterms:created>
  <dcterms:modified xsi:type="dcterms:W3CDTF">2025-01-21T10:37:46Z</dcterms:modified>
</cp:coreProperties>
</file>