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800" tabRatio="599"/>
  </bookViews>
  <sheets>
    <sheet name="Лист2" sheetId="3" r:id="rId1"/>
    <sheet name="Лист3" sheetId="3804" r:id="rId2"/>
  </sheets>
  <calcPr calcId="162913"/>
  <fileRecoveryPr autoRecover="0"/>
</workbook>
</file>

<file path=xl/calcChain.xml><?xml version="1.0" encoding="utf-8"?>
<calcChain xmlns="http://schemas.openxmlformats.org/spreadsheetml/2006/main">
  <c r="E727" i="3" l="1"/>
  <c r="E726" i="3"/>
  <c r="E725" i="3"/>
  <c r="E724" i="3"/>
  <c r="E723" i="3"/>
  <c r="E722" i="3"/>
  <c r="E721" i="3"/>
  <c r="E720" i="3"/>
  <c r="E719" i="3"/>
  <c r="E718" i="3"/>
  <c r="E717" i="3"/>
  <c r="E716" i="3"/>
  <c r="E715" i="3"/>
  <c r="E713" i="3"/>
  <c r="E712" i="3"/>
  <c r="E710" i="3"/>
  <c r="E708" i="3"/>
  <c r="E707" i="3"/>
  <c r="E705" i="3"/>
  <c r="E704" i="3"/>
  <c r="E703" i="3"/>
  <c r="E701" i="3"/>
  <c r="E700" i="3"/>
  <c r="E695" i="3"/>
  <c r="E694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4" i="3"/>
  <c r="E663" i="3"/>
  <c r="E662" i="3"/>
  <c r="E661" i="3"/>
  <c r="E660" i="3"/>
  <c r="E659" i="3"/>
  <c r="E658" i="3"/>
  <c r="E657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3" i="3"/>
  <c r="E582" i="3"/>
  <c r="E581" i="3"/>
  <c r="E580" i="3"/>
  <c r="E579" i="3"/>
  <c r="E578" i="3"/>
  <c r="E577" i="3"/>
  <c r="E576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0" i="3"/>
  <c r="E549" i="3"/>
  <c r="E548" i="3"/>
  <c r="E547" i="3"/>
  <c r="E546" i="3"/>
  <c r="E545" i="3"/>
  <c r="E544" i="3"/>
  <c r="E543" i="3"/>
  <c r="E542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00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2" i="3"/>
  <c r="E191" i="3"/>
  <c r="E190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<sst xmlns="http://schemas.openxmlformats.org/spreadsheetml/2006/main" count="2791" uniqueCount="653">
  <si>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</si>
  <si>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</si>
  <si>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</si>
  <si>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</si>
  <si>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</si>
  <si>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</si>
  <si>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</si>
  <si>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</si>
  <si>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</si>
  <si>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</si>
  <si>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</si>
  <si>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</si>
  <si>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</si>
  <si>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</si>
  <si>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</si>
  <si>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</si>
  <si>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</si>
  <si>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</si>
  <si>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</si>
  <si>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</si>
  <si>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</si>
  <si>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</si>
  <si>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</si>
  <si>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</si>
  <si>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</si>
  <si>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</si>
  <si>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</si>
  <si>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</si>
  <si>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</si>
  <si>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</si>
  <si>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0,8х1250х2500</t>
  </si>
  <si>
    <t>1,5х1200х2000</t>
  </si>
  <si>
    <t>1,2х1200х2000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</si>
  <si>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</si>
  <si>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</si>
  <si>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</si>
  <si>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</si>
  <si>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</si>
  <si>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</si>
  <si>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</si>
  <si>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</si>
  <si>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</si>
  <si>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</si>
  <si>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</si>
  <si>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</si>
  <si>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</si>
  <si>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</si>
  <si>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</si>
  <si>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</si>
  <si>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</si>
  <si>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</si>
  <si>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</si>
  <si>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</si>
  <si>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</si>
  <si>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</si>
  <si>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</si>
  <si>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</si>
  <si>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</si>
  <si>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</si>
  <si>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</si>
  <si>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0,8х350х2000</t>
  </si>
  <si>
    <t>ХВГ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</si>
  <si>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</si>
  <si>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</si>
  <si>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</si>
  <si>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</si>
  <si>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</si>
  <si>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</si>
  <si>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</si>
  <si>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</si>
  <si>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</si>
  <si>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</si>
  <si>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</si>
  <si>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</si>
  <si>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</si>
  <si>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</si>
  <si>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</si>
  <si>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</si>
  <si>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</si>
  <si>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</si>
  <si>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</si>
  <si>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</si>
  <si>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</si>
  <si>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</si>
  <si>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</si>
  <si>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</si>
  <si>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</si>
  <si>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</si>
  <si>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</si>
  <si>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</si>
  <si>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</si>
  <si>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</si>
  <si>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</si>
  <si>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</si>
  <si>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80х500х360</t>
  </si>
  <si>
    <t>70х800-900х3200-3700</t>
  </si>
  <si>
    <t>ГОСТ 14959-79, ГОСТ 2283-79</t>
  </si>
  <si>
    <t>2х1000х1600</t>
  </si>
  <si>
    <t>100х700-800х2200-2700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</si>
  <si>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</si>
  <si>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</si>
  <si>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</si>
  <si>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</si>
  <si>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</si>
  <si>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</si>
  <si>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</si>
  <si>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</si>
  <si>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</si>
  <si>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</si>
  <si>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</si>
  <si>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</si>
  <si>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3х1250х2000</t>
  </si>
  <si>
    <t>ГОСТ 4543-71, 11268-76, 19904-90, ПН, БД, БТ, БШ</t>
  </si>
  <si>
    <t>25х1500х6000</t>
  </si>
  <si>
    <t>8х1000х2000</t>
  </si>
  <si>
    <t>10х1000х2000</t>
  </si>
  <si>
    <t>ГОСТ 1577-93, 19903-74, отжиг, Б-ПН-НО</t>
  </si>
  <si>
    <t>70х800-900х330</t>
  </si>
  <si>
    <t>50х1500х6000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</si>
  <si>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</si>
  <si>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</si>
  <si>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</si>
  <si>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</si>
  <si>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</si>
  <si>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</si>
  <si>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</si>
  <si>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</si>
  <si>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</si>
  <si>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</si>
  <si>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</si>
  <si>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</si>
  <si>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</si>
  <si>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</si>
  <si>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</si>
  <si>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</si>
  <si>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</si>
  <si>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</si>
  <si>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</si>
  <si>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</si>
  <si>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</si>
  <si>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</si>
  <si>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4,4</t>
  </si>
  <si>
    <t>сер. 5,3</t>
  </si>
  <si>
    <t>сер. 8,0</t>
  </si>
  <si>
    <t>сер. 9,0</t>
  </si>
  <si>
    <t>Протокол 132-88-2018</t>
  </si>
  <si>
    <t>2х1250х2500</t>
  </si>
  <si>
    <t>ГОСТ 2590, 19265</t>
  </si>
  <si>
    <t>5х1250х2500</t>
  </si>
  <si>
    <t>ГОСТ 2284-79, ГОСТ 1050-2013, отожжённая, Т-Ш-С</t>
  </si>
  <si>
    <t>40х1500х4500-5300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</si>
  <si>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</si>
  <si>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</si>
  <si>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</si>
  <si>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</si>
  <si>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</si>
  <si>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>ГОСТ 801,2590,г/о,т/о,н/д</t>
  </si>
  <si>
    <t>ГОСТ 19903-15, 1577-93, Б, ПН, О</t>
  </si>
  <si>
    <t>100х500х2400-2500</t>
  </si>
  <si>
    <t>50х1000-1100х200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</si>
  <si>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</si>
  <si>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</si>
  <si>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</si>
  <si>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</si>
  <si>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</si>
  <si>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</si>
  <si>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</si>
  <si>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ГОСТ 5950-2000, 19903-74, Пр.132-126-2016, отжиг, травление</t>
  </si>
  <si>
    <t>90х700-800х2700-3200</t>
  </si>
  <si>
    <t>2х1000х1900</t>
  </si>
  <si>
    <t>4Х5МФ1С</t>
  </si>
  <si>
    <t>110х610</t>
  </si>
  <si>
    <t>ГОСТ 4405, ГОСТ 5950-2000</t>
  </si>
  <si>
    <t>2х900-1000х1900-2000</t>
  </si>
  <si>
    <t>4х900-1000х1900-2000</t>
  </si>
  <si>
    <t>15х1400х6000</t>
  </si>
  <si>
    <t>20х610</t>
  </si>
  <si>
    <t>ГОСТ 5950-2000, ГОСТ 4405</t>
  </si>
  <si>
    <t>6х1500х690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</si>
  <si>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</si>
  <si>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</si>
  <si>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</si>
  <si>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</si>
  <si>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</si>
  <si>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</si>
  <si>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</si>
  <si>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</si>
  <si>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</si>
  <si>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</si>
  <si>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</si>
  <si>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</si>
  <si>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</si>
  <si>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8х1500х5000-6000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</si>
  <si>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</si>
  <si>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</si>
  <si>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</si>
  <si>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</si>
  <si>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</si>
  <si>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90х610</t>
  </si>
  <si>
    <t>2,5х600х1300</t>
  </si>
  <si>
    <t>12х1500х5290</t>
  </si>
  <si>
    <t>1,0х1250х2500</t>
  </si>
  <si>
    <t>Ст45</t>
  </si>
  <si>
    <t>Ст3</t>
  </si>
  <si>
    <t>ЛЕНТА 0,5х75</t>
  </si>
  <si>
    <t>ГОСТ 14959-79, ГОСТ 2283-79, С</t>
  </si>
  <si>
    <t>125х2000х3000</t>
  </si>
  <si>
    <t>6х1500х5500-6000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</si>
  <si>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</si>
  <si>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</si>
  <si>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</si>
  <si>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</si>
  <si>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</si>
  <si>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30х1500х4000-5000</t>
  </si>
  <si>
    <t>ГОСТ 8479-70, 1050,   УЗК</t>
  </si>
  <si>
    <t>Р9М4К8</t>
  </si>
  <si>
    <t>30х150</t>
  </si>
  <si>
    <t>10ХСНД</t>
  </si>
  <si>
    <t>ГОСТ 19281-2014, 19903-74</t>
  </si>
  <si>
    <t>ТУ 14-123-199-2012</t>
  </si>
  <si>
    <t>12х610</t>
  </si>
  <si>
    <t>ГОСТ 19903-15, 1577-93,1050-2013, Б, ПН, О</t>
  </si>
  <si>
    <t>ГОСТ 19903-2015, 1577-93, 14959-2016, Б, ПН, О</t>
  </si>
  <si>
    <t>ГОСТ 1577-93, 19903-2015, 1050-2013, Б, ПН, О</t>
  </si>
  <si>
    <t>ЛЕНТА 0,5х12</t>
  </si>
  <si>
    <t>ГОСТ 5950-2000,  4405-75</t>
  </si>
  <si>
    <t>35х1200-1500х300</t>
  </si>
  <si>
    <t>Х12Ф1</t>
  </si>
  <si>
    <t>75х200</t>
  </si>
  <si>
    <t>ГОСТ 4543-2016, 11268-76, 19904-90, ПН, БД, БТ, БШ</t>
  </si>
  <si>
    <t>2х800-1000х1800-2000</t>
  </si>
  <si>
    <t>3Х2В8Ф</t>
  </si>
  <si>
    <t>12х1500х3000</t>
  </si>
  <si>
    <t>50х1000-1100х520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</si>
  <si>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</si>
  <si>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</si>
  <si>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</si>
  <si>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</si>
  <si>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</si>
  <si>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</si>
  <si>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ГОСТ 8479-70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</si>
  <si>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</si>
  <si>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</si>
  <si>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</si>
  <si>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</si>
  <si>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</si>
  <si>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</si>
  <si>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</si>
  <si>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</si>
  <si>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</si>
  <si>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</si>
  <si>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</si>
  <si>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4543-2016,  2590-2006, В1, 2ГП</t>
  </si>
  <si>
    <t>ГОСТ 5950-2000, 2590-2006, В1, а-2ГП, Т/О</t>
  </si>
  <si>
    <t>160х1500х3500</t>
  </si>
  <si>
    <t>ГОСТ 14959, 2590, В1, 2ГП, Т/О</t>
  </si>
  <si>
    <t>ГОСТ 5950, 8479-70</t>
  </si>
  <si>
    <t xml:space="preserve">ТУ 14-134-427-2006             </t>
  </si>
  <si>
    <t>50х1100х5000</t>
  </si>
  <si>
    <t>100х50-57</t>
  </si>
  <si>
    <t>150х1500х5000</t>
  </si>
  <si>
    <t>ГОСТ 1577-93, 19903-2015, 4543-2016, Б, ПН, НО</t>
  </si>
  <si>
    <t>8х1500х5100-5500</t>
  </si>
  <si>
    <t>35х1200-1300х4000-5000</t>
  </si>
  <si>
    <t>ГОСТ 19903-2015, 1577-93, Б, ПН, О</t>
  </si>
  <si>
    <t>80х500 (сутунка)</t>
  </si>
  <si>
    <t>5,0х1000х2000</t>
  </si>
  <si>
    <t>ГОСТ 19904-90, 11269-76, БТ-IV-ПН-О</t>
  </si>
  <si>
    <t>6ХВ2С</t>
  </si>
  <si>
    <t>18х610</t>
  </si>
  <si>
    <t>35х610</t>
  </si>
  <si>
    <t>40х610</t>
  </si>
  <si>
    <t>45х610</t>
  </si>
  <si>
    <t>ГОСТ 2284-79, ГОСТ 1050-2013,  Т-Ш-С</t>
  </si>
  <si>
    <t>25х1200-1300х3500-4500</t>
  </si>
  <si>
    <t>40х1000-1100х2500-3500</t>
  </si>
  <si>
    <t>ТУ 14-132-208-2001, 19903-2015,  отжиг,  б/травл.</t>
  </si>
  <si>
    <t>1,0х310х2000</t>
  </si>
  <si>
    <t>80х1500х360</t>
  </si>
  <si>
    <t>30х1500х2110</t>
  </si>
  <si>
    <t>16х1500х4500-5500</t>
  </si>
  <si>
    <t>50х900-1000х2200-2800</t>
  </si>
  <si>
    <t>15х1500х1000</t>
  </si>
  <si>
    <t>20х92-94 (дл. 1807мм)</t>
  </si>
  <si>
    <t>20х95-98 (дл. 1645мм)</t>
  </si>
  <si>
    <t>20х93-96 (дл. 1645мм)</t>
  </si>
  <si>
    <t>30х50-53 (дл. 2135мм)</t>
  </si>
  <si>
    <t>30х1500х4000-4500</t>
  </si>
  <si>
    <t>0,5х220х2000</t>
  </si>
  <si>
    <t>0,8х220х2000</t>
  </si>
  <si>
    <t>1,5х220х2000</t>
  </si>
  <si>
    <t>40х510</t>
  </si>
  <si>
    <t>50х510</t>
  </si>
  <si>
    <t>80х610</t>
  </si>
  <si>
    <t>150х610</t>
  </si>
  <si>
    <t>ШХ15-В</t>
  </si>
  <si>
    <t>12,5х1500х6000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</si>
  <si>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</si>
  <si>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</si>
  <si>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</si>
  <si>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</si>
  <si>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</si>
  <si>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50х1000-1100х560</t>
  </si>
  <si>
    <t>30х1500х1980</t>
  </si>
  <si>
    <t>60х1000-1100х380</t>
  </si>
  <si>
    <t>ГОСТ 14959-2016, 19904-90, ТУ 14-1-4118-2004</t>
  </si>
  <si>
    <t xml:space="preserve">ГОСТ 14959-2016, 19904-90, ТУ 14-1-4118-2004 </t>
  </si>
  <si>
    <t>ГОСТ 5950-2000, ГОСТ 4405-75</t>
  </si>
  <si>
    <t>14х1500х5270</t>
  </si>
  <si>
    <t>60х190х790</t>
  </si>
  <si>
    <t>ГОСТ 5950-2000, 19903-2015, Пр.132-126-2016, отжиг, травление</t>
  </si>
  <si>
    <t>60х610</t>
  </si>
  <si>
    <t>65х610</t>
  </si>
  <si>
    <t>65х245</t>
  </si>
  <si>
    <t>45х370</t>
  </si>
  <si>
    <t>14х1500х380</t>
  </si>
  <si>
    <t>50х410</t>
  </si>
  <si>
    <t>90х1500х4200</t>
  </si>
  <si>
    <t>25х1500х1775</t>
  </si>
  <si>
    <t>80х1500х2030</t>
  </si>
  <si>
    <t>ГОСТ 5950-2000, 4405-75</t>
  </si>
  <si>
    <t>ГОСТ 19903-2015, 1577-93, Б, ПН, НО</t>
  </si>
  <si>
    <t>ГОСТ 19903-15, 1577-93, Б, ПН, НО</t>
  </si>
  <si>
    <t>50х1000-1100х1000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</si>
  <si>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</si>
  <si>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</si>
  <si>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</si>
  <si>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</si>
  <si>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</si>
  <si>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</si>
  <si>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</si>
  <si>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</si>
  <si>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</si>
  <si>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 xml:space="preserve">95Х18 </t>
  </si>
  <si>
    <t>сер.6</t>
  </si>
  <si>
    <t>ГОСТ 14955-77, 5949-2018</t>
  </si>
  <si>
    <t>ТУ 14-132-208-2001, ГОСТ 19903-2015 М5г, Б, О, б/травл.</t>
  </si>
  <si>
    <t>8х1500х5500-6000</t>
  </si>
  <si>
    <t>ГОСТ 5950-2000, 2590-2006, В1, а-2ГП, обточка, отж.</t>
  </si>
  <si>
    <t>80х1220х360</t>
  </si>
  <si>
    <t>4,5х800</t>
  </si>
  <si>
    <t>5х800</t>
  </si>
  <si>
    <t>5,5х800</t>
  </si>
  <si>
    <t>6х800</t>
  </si>
  <si>
    <t>2х800 х/к</t>
  </si>
  <si>
    <t>ГОСТ 5950-2000</t>
  </si>
  <si>
    <t>70х800-900х1900-2500</t>
  </si>
  <si>
    <t>ТУ14-1-4118-2004, ГОСТ 19903-2015, ТО</t>
  </si>
  <si>
    <t>80х700-800х160</t>
  </si>
  <si>
    <t>20х1500х770</t>
  </si>
  <si>
    <t>70х1500х1460</t>
  </si>
  <si>
    <t>50х1000-1100х310</t>
  </si>
  <si>
    <t>ТУ 14-134-427-2006, ГОСТ 19903-2015</t>
  </si>
  <si>
    <t>2,0х1200х1640</t>
  </si>
  <si>
    <t>Протокол 132-146-2019</t>
  </si>
  <si>
    <t>120х700-800х2000-2500</t>
  </si>
  <si>
    <t>Протокол 132-245-2020</t>
  </si>
  <si>
    <t>ГОСТ 19903-2015, ТУ 14-123-199-2012</t>
  </si>
  <si>
    <t>16х1500х290</t>
  </si>
  <si>
    <t>14х1500х470</t>
  </si>
  <si>
    <t>70х1200х1720</t>
  </si>
  <si>
    <t>50х1000-1100х740</t>
  </si>
  <si>
    <t>3х1200х2000</t>
  </si>
  <si>
    <t>ТУ 14-132-208-2001, 19903-15, Б, М5г, ПН, О</t>
  </si>
  <si>
    <t>100х500х1110</t>
  </si>
  <si>
    <t>36х1500х360</t>
  </si>
  <si>
    <t>ГОСТ 5950-2000, ГОСТ 2590-2006, В1, 2ГП</t>
  </si>
  <si>
    <t>10х1500х5500-6000</t>
  </si>
  <si>
    <t>Протокол 132-257-2020</t>
  </si>
  <si>
    <t>35х1200-1300х4000-4500</t>
  </si>
  <si>
    <t>55х1000-1100х3000-3600</t>
  </si>
  <si>
    <t>45х1000-1100х4000-4500</t>
  </si>
  <si>
    <t>0,8х390х2000</t>
  </si>
  <si>
    <t>3Х2В8Ф-Ш</t>
  </si>
  <si>
    <t>100х500х1040</t>
  </si>
  <si>
    <t>15х1500х2660</t>
  </si>
  <si>
    <t>30х1500х360</t>
  </si>
  <si>
    <t>6х1500х3000</t>
  </si>
  <si>
    <t>120х700-800х400</t>
  </si>
  <si>
    <t>12х1500х445</t>
  </si>
  <si>
    <t>70х800-900х440</t>
  </si>
  <si>
    <t>25х1500х780</t>
  </si>
  <si>
    <t>120х700-800х2220</t>
  </si>
  <si>
    <t>14х1500х5000-6000</t>
  </si>
  <si>
    <t>60х210х390</t>
  </si>
  <si>
    <t>ТУ 14-1-1409-2018, 19903-2015, Б-ПН-О, отжиг, трав., промасл.</t>
  </si>
  <si>
    <t>12х1500х2995</t>
  </si>
  <si>
    <t>14х1500х2950</t>
  </si>
  <si>
    <t>ГОСТ 5582-75, 19903-15, Б, М4г, О</t>
  </si>
  <si>
    <t>4,5х1000х2000</t>
  </si>
  <si>
    <t>18х1500х2890</t>
  </si>
  <si>
    <t>160х1500х830</t>
  </si>
  <si>
    <t>8х1500х3200</t>
  </si>
  <si>
    <t>50х420х810</t>
  </si>
  <si>
    <t>110х1500х300</t>
  </si>
  <si>
    <t>110х350х1170</t>
  </si>
  <si>
    <t>60х340х740</t>
  </si>
  <si>
    <t>160х280х1160</t>
  </si>
  <si>
    <t>130х840х160</t>
  </si>
  <si>
    <t>ШХ15-Ш</t>
  </si>
  <si>
    <t>ШХ15СГ-Ш</t>
  </si>
  <si>
    <t>ГОСТ 801-78, 2590-2006</t>
  </si>
  <si>
    <t>ГОСТ 11269-76, отжиг, травл., 19903-2015, ПН-О, РТ-Техприемка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</si>
  <si>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</si>
  <si>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</si>
  <si>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</si>
  <si>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</si>
  <si>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19903-2015, ПН-НО,  РТ-Техприемка</t>
  </si>
  <si>
    <t>ГОСТ 11269-76, 19903-15</t>
  </si>
  <si>
    <t>ГОСТ 11269-76, 19903-2015, РТ-Техприемка</t>
  </si>
  <si>
    <t>ГОСТ 11269-76, 19903-15, РТ-Техприемка</t>
  </si>
  <si>
    <t>ГОСТ 11269-76,  19903-2015, О, РТ-Техприемка</t>
  </si>
  <si>
    <t>ГОСТ 19903-2015, ТУ 14-1-4148-2014</t>
  </si>
  <si>
    <t xml:space="preserve">ГОСТ 19903-2015, ТУ 14-1-4148-2014, РТ-Техприемка  </t>
  </si>
  <si>
    <t>ТУ 14-1-1409-75, 19903-2015, Б-ПН-О, отжиг</t>
  </si>
  <si>
    <t>16х1500х880</t>
  </si>
  <si>
    <t>12х1500х740</t>
  </si>
  <si>
    <t>ГОСТ 14959-2016, ГОСТ 2283-79</t>
  </si>
  <si>
    <t>50х1500х300</t>
  </si>
  <si>
    <t>50х540х940</t>
  </si>
  <si>
    <t>110х550х280</t>
  </si>
  <si>
    <t>160х1500х1400</t>
  </si>
  <si>
    <t>8х1500х1540</t>
  </si>
  <si>
    <t>ГОСТ 11269-76, отжиг, травл., 19903-2015, Б, ПН-О, РТ-Техприемка</t>
  </si>
  <si>
    <t>100х700-800х1260</t>
  </si>
  <si>
    <t>09Г2С</t>
  </si>
  <si>
    <t>10х2000х6000</t>
  </si>
  <si>
    <t>ГОСТ 19903-2015, 19281-2014, 22727-88</t>
  </si>
  <si>
    <t>60х550-650х3000-4000</t>
  </si>
  <si>
    <t>16х1500х1070</t>
  </si>
  <si>
    <t>60х1500х2030</t>
  </si>
  <si>
    <t>80х700-800х1710</t>
  </si>
  <si>
    <t>25х1200-1300х1950</t>
  </si>
  <si>
    <t>75х610</t>
  </si>
  <si>
    <t>16х1500х500</t>
  </si>
  <si>
    <t>100х1500х1990</t>
  </si>
  <si>
    <t>6х1500х1940</t>
  </si>
  <si>
    <t>5х1500х3000</t>
  </si>
  <si>
    <t>10х1500х1455</t>
  </si>
  <si>
    <t>40х1200-1300х360</t>
  </si>
  <si>
    <t>12х1500х1870</t>
  </si>
  <si>
    <t>16х1500х570</t>
  </si>
  <si>
    <t>20х1500х270</t>
  </si>
  <si>
    <t>40х1200-1300х3500-5000</t>
  </si>
  <si>
    <t>45х1200-1300х3500-5000</t>
  </si>
  <si>
    <t>55х1000-1100х3500-4000</t>
  </si>
  <si>
    <t>65х950-1050х2800-3100</t>
  </si>
  <si>
    <t>20х1500х1035</t>
  </si>
  <si>
    <t>30х1500х480</t>
  </si>
  <si>
    <t>36х1500х450</t>
  </si>
  <si>
    <t>40х1500х690</t>
  </si>
  <si>
    <t>20х1500х3340</t>
  </si>
  <si>
    <t>ТУ 14-132-208-2020, 19903-2015 М5г, НО, отжиг б/травл.</t>
  </si>
  <si>
    <t>20х1500х5000-6000</t>
  </si>
  <si>
    <t>70х435х970</t>
  </si>
  <si>
    <t>40х1200-1300х1080</t>
  </si>
  <si>
    <t>20х1500х3850</t>
  </si>
  <si>
    <t>30х1500х470</t>
  </si>
  <si>
    <t>120х1500х5680</t>
  </si>
  <si>
    <t>80х1500х930</t>
  </si>
  <si>
    <t>80х490х950</t>
  </si>
  <si>
    <t>80х920х1260</t>
  </si>
  <si>
    <t>10х1500х500</t>
  </si>
  <si>
    <t>100х500х1100</t>
  </si>
  <si>
    <t>5х1500х680</t>
  </si>
  <si>
    <t>90х700-800х1200</t>
  </si>
  <si>
    <t>10х1500х2920</t>
  </si>
  <si>
    <t>8х1500х4760</t>
  </si>
  <si>
    <t>14х1500х1780</t>
  </si>
  <si>
    <t>12х2000х2430</t>
  </si>
  <si>
    <t>70х1200х940</t>
  </si>
  <si>
    <t>120х600х1120</t>
  </si>
  <si>
    <t>5х1500х5900-5925</t>
  </si>
  <si>
    <t>60х1000-1100х790</t>
  </si>
  <si>
    <t>8х1500х2390</t>
  </si>
  <si>
    <t>160х1500х2610</t>
  </si>
  <si>
    <t>20х1500х200</t>
  </si>
  <si>
    <t>ТУ 14-132-208-2020, 19903-2015 М5г, Б, О, отжиг б/травл.</t>
  </si>
  <si>
    <t>ТУ 14-132-208-2020, 19903-2015 М5г, О, отжиг б/травл.</t>
  </si>
  <si>
    <t>20х1500х3500-4500</t>
  </si>
  <si>
    <t>30х1100-1200х3000-4000</t>
  </si>
  <si>
    <t>60х900-1000х2200-2800</t>
  </si>
  <si>
    <t>20х1500х1990</t>
  </si>
  <si>
    <t>40х1500х610</t>
  </si>
  <si>
    <t>80х700-800х440</t>
  </si>
  <si>
    <t>ГОСТ 11268-76, отжиг, травл., 19903-2015, Б, ПН-О</t>
  </si>
  <si>
    <t>50х1000-1100х400</t>
  </si>
  <si>
    <t>10х1500х3160</t>
  </si>
  <si>
    <t>08пс</t>
  </si>
  <si>
    <t>8х1500х810</t>
  </si>
  <si>
    <t>90х1380х1070</t>
  </si>
  <si>
    <t>8х1500х2310</t>
  </si>
  <si>
    <t>60х1000-1100х1350</t>
  </si>
  <si>
    <t>80х700-800х1150</t>
  </si>
  <si>
    <t>ГОСТ 5950-2000, 19903-2015, Пр.132-247-2020, отжиг</t>
  </si>
  <si>
    <t>70х1200х4300</t>
  </si>
  <si>
    <t>80х1200х3700</t>
  </si>
  <si>
    <t>65х1500х3300</t>
  </si>
  <si>
    <t>ТУ 14-132-208-2020, 19903-2015,  отжиг,  б/травл.</t>
  </si>
  <si>
    <t>80х700-800х3000</t>
  </si>
  <si>
    <t>16х1500х610</t>
  </si>
  <si>
    <t>30х1500х490</t>
  </si>
  <si>
    <t>100х700-800х1270</t>
  </si>
  <si>
    <t>100х1090х2020</t>
  </si>
  <si>
    <t>40х1500х4900</t>
  </si>
  <si>
    <t>20х1500х4740</t>
  </si>
  <si>
    <t>16х1500х560</t>
  </si>
  <si>
    <t>40х1200-1300х1320</t>
  </si>
  <si>
    <t>35х1200-1300х3540</t>
  </si>
  <si>
    <t>25х1500х1240</t>
  </si>
  <si>
    <t>4х1500х3170</t>
  </si>
  <si>
    <t>60х550-650х1090</t>
  </si>
  <si>
    <t>60х1000-1100х1480</t>
  </si>
  <si>
    <t>8х1500х3400</t>
  </si>
  <si>
    <t>30х1500х770</t>
  </si>
  <si>
    <t>70х220х2020</t>
  </si>
  <si>
    <t>70х800-900х2970</t>
  </si>
  <si>
    <t>90х1500х500</t>
  </si>
  <si>
    <t>16х1500х250</t>
  </si>
  <si>
    <t>22х1500х1580</t>
  </si>
  <si>
    <t>50х1500х720</t>
  </si>
  <si>
    <t>5х1500х4930</t>
  </si>
  <si>
    <t>16х1500х690</t>
  </si>
  <si>
    <t>40х1000-1100х490</t>
  </si>
  <si>
    <t>6х1500х1480</t>
  </si>
  <si>
    <t>90х700-800х1660</t>
  </si>
  <si>
    <t>80х1200х2320</t>
  </si>
  <si>
    <t>36х1500х5930</t>
  </si>
  <si>
    <t>8х1500х1290</t>
  </si>
  <si>
    <t>12Х18Н10Т</t>
  </si>
  <si>
    <t>ГОСТ 5582-75, 19904-90</t>
  </si>
  <si>
    <t>70х1500х5400</t>
  </si>
  <si>
    <t>Р18-Ш</t>
  </si>
  <si>
    <t>ГОСТ 19265-73, 1133-71</t>
  </si>
  <si>
    <t>80х1500х890</t>
  </si>
  <si>
    <t>25х1500х1560</t>
  </si>
  <si>
    <t>14х1500х4190</t>
  </si>
  <si>
    <t>12х1500х730</t>
  </si>
  <si>
    <t>16х1500х930</t>
  </si>
  <si>
    <t>6х1500х860</t>
  </si>
  <si>
    <t>30х1500х1350</t>
  </si>
  <si>
    <t>18х1500х5530</t>
  </si>
  <si>
    <t>40х1500х330</t>
  </si>
  <si>
    <t>Ст3сп</t>
  </si>
  <si>
    <t>6х1500х2570</t>
  </si>
  <si>
    <t>8х1500х4450</t>
  </si>
  <si>
    <t>6х1500х3500</t>
  </si>
  <si>
    <t>30х1500х1780</t>
  </si>
  <si>
    <t>ГОСТ 2283-79, ГОСТ 1435-99, С</t>
  </si>
  <si>
    <t>12х1500х1570</t>
  </si>
  <si>
    <t>8х1500х4440</t>
  </si>
  <si>
    <t>12х1500х5600</t>
  </si>
  <si>
    <t>45х1000-1100х3760</t>
  </si>
  <si>
    <t>30х1100-1200х490</t>
  </si>
  <si>
    <t>10х1500х4750</t>
  </si>
  <si>
    <t>8х1500х530</t>
  </si>
  <si>
    <t>14х1500х3970</t>
  </si>
  <si>
    <t>12х1500х3330</t>
  </si>
  <si>
    <t>70х800-900х1630</t>
  </si>
  <si>
    <t>60х1500х1350</t>
  </si>
  <si>
    <t>30х1500х1420</t>
  </si>
  <si>
    <t>50х1000-1100х550</t>
  </si>
  <si>
    <t>12х1500х2000</t>
  </si>
  <si>
    <t>16х1500х4650</t>
  </si>
  <si>
    <t>ГОСТ 2590-2006,  5949-2018</t>
  </si>
  <si>
    <t>50х1500х2120</t>
  </si>
  <si>
    <t>6х1500х2000</t>
  </si>
  <si>
    <t>12х1500х2500</t>
  </si>
  <si>
    <t>5х1500х5000</t>
  </si>
  <si>
    <t>14х1500х3610</t>
  </si>
  <si>
    <t>16х1500х2920</t>
  </si>
  <si>
    <t>6х1500х4500</t>
  </si>
  <si>
    <t>45х1200-1300х2800</t>
  </si>
  <si>
    <t>16х1500х1720</t>
  </si>
  <si>
    <t>14х1500х5700</t>
  </si>
  <si>
    <t>60х2000х5000</t>
  </si>
  <si>
    <t>55-60х300х490</t>
  </si>
  <si>
    <t>20х360х370</t>
  </si>
  <si>
    <t>20х1500х330</t>
  </si>
  <si>
    <t>40х1500х4400</t>
  </si>
  <si>
    <t>40х1200-1300х1630</t>
  </si>
  <si>
    <t>12х1500х4200</t>
  </si>
  <si>
    <t>10х1500х2370</t>
  </si>
  <si>
    <t>30х1100-1200х3180</t>
  </si>
  <si>
    <t>16х1500х4110</t>
  </si>
  <si>
    <t>25х1500х3340</t>
  </si>
  <si>
    <t>Склад  на 01.06.2021г.</t>
  </si>
  <si>
    <t>ООО « Промгруппа »</t>
  </si>
  <si>
    <t>454036, г. Челябинск, ул. Радонежская, 40А, оф. 3/11  тел./ф. (351) 735-59-91; 735-59-79, 214-59-79, 214-59-91</t>
  </si>
  <si>
    <t xml:space="preserve">          e-mail: promgroup05@mail.ru            сайт: www.promgroupchel.ru</t>
  </si>
  <si>
    <t>6х1500х2500</t>
  </si>
  <si>
    <t>8х1500х4000</t>
  </si>
  <si>
    <t>60х1500х2560</t>
  </si>
  <si>
    <t>120х1500х1240</t>
  </si>
  <si>
    <t>3х1000х1500</t>
  </si>
  <si>
    <t>5х1500х1240</t>
  </si>
  <si>
    <t>20х1500х950</t>
  </si>
  <si>
    <t>30х1500х2160</t>
  </si>
  <si>
    <t>40х1200-1300х1200</t>
  </si>
  <si>
    <t>60х1000-1100х1130</t>
  </si>
  <si>
    <t>4х1000х1400</t>
  </si>
  <si>
    <t>6х1500х5500</t>
  </si>
  <si>
    <t>12х1500х1910</t>
  </si>
  <si>
    <t>16х1500х2800</t>
  </si>
  <si>
    <t>20х1500х750</t>
  </si>
  <si>
    <t>20х1500х2010</t>
  </si>
  <si>
    <t>30х1500х1180</t>
  </si>
  <si>
    <t>30х1500х1500-2500</t>
  </si>
  <si>
    <t>40х1200-1300х1000-1500</t>
  </si>
  <si>
    <t>40х1200-1300х1000</t>
  </si>
  <si>
    <t>40х1200-1300х1350-2850</t>
  </si>
  <si>
    <t>60х1000-1100х500</t>
  </si>
  <si>
    <t>12х750х985</t>
  </si>
  <si>
    <t>20х1500х1200</t>
  </si>
  <si>
    <t>50х1000-1100х3000-3500</t>
  </si>
  <si>
    <t>5х1500х1170</t>
  </si>
  <si>
    <t>40х1000-1100х1850-2850</t>
  </si>
  <si>
    <t>50х900-1000х1790</t>
  </si>
  <si>
    <t>60х900-1000х1390</t>
  </si>
  <si>
    <t>16х1500х3250</t>
  </si>
  <si>
    <t>20х1500х3600</t>
  </si>
  <si>
    <t>25х1500х1000</t>
  </si>
  <si>
    <t>30х1500х500</t>
  </si>
  <si>
    <t>30х1500х640</t>
  </si>
  <si>
    <t>30х1500х3860</t>
  </si>
  <si>
    <t>40х1500х1640</t>
  </si>
  <si>
    <t>50х1500х210</t>
  </si>
  <si>
    <t>60х1500х2110</t>
  </si>
  <si>
    <t>70х1200х1410</t>
  </si>
  <si>
    <t>90х1000х2300</t>
  </si>
  <si>
    <t>100х1500х1060</t>
  </si>
  <si>
    <t>10х2000х2500</t>
  </si>
  <si>
    <t>20х2000х640</t>
  </si>
  <si>
    <t>30х2000х750</t>
  </si>
  <si>
    <t>16х1500х980</t>
  </si>
  <si>
    <t>45х1500х1510</t>
  </si>
  <si>
    <t>60х1500х270</t>
  </si>
  <si>
    <t>16х1500х1900</t>
  </si>
  <si>
    <t>30х400х1480</t>
  </si>
  <si>
    <t>30х1500х380</t>
  </si>
  <si>
    <t>36х1500х4440</t>
  </si>
  <si>
    <t>40х1500х620</t>
  </si>
  <si>
    <t>45х1500х3250</t>
  </si>
  <si>
    <t>100х1500х1050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</si>
  <si>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</si>
  <si>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</si>
  <si>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</si>
  <si>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</si>
  <si>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</si>
  <si>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14955, 19265</t>
  </si>
  <si>
    <t>ГОСТ 2590, 535-2006</t>
  </si>
  <si>
    <t>20х1500х1410</t>
  </si>
  <si>
    <t>25х1500х5370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</si>
</sst>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,\ yyyy"/>
    <numFmt numFmtId="165" formatCode="#,##0.0000"/>
  </numFmts>
  <fonts count="2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 wrapText="1"/>
    </xf>
    <xf numFmtId="0" fontId="19" fillId="18" borderId="11" xfId="25" applyFont="1" applyFill="1" applyBorder="1" applyAlignment="1">
      <alignment horizontal="center" vertical="center" wrapText="1"/>
    </xf>
    <xf numFmtId="0" fontId="19" fillId="18" borderId="13" xfId="25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165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19" fillId="0" borderId="11" xfId="25" applyFont="1" applyFill="1" applyBorder="1" applyAlignment="1">
      <alignment horizontal="center" vertical="center" wrapText="1"/>
    </xf>
    <xf numFmtId="0" fontId="19" fillId="0" borderId="13" xfId="25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19" fillId="0" borderId="15" xfId="25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25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16" borderId="17" xfId="25" applyNumberFormat="1" applyFont="1" applyFill="1" applyBorder="1" applyAlignment="1">
      <alignment horizontal="center" vertical="center" wrapText="1"/>
    </xf>
    <xf numFmtId="165" fontId="19" fillId="16" borderId="18" xfId="25" applyNumberFormat="1" applyFont="1" applyFill="1" applyBorder="1" applyAlignment="1">
      <alignment horizontal="center" vertical="center" wrapText="1"/>
    </xf>
    <xf numFmtId="165" fontId="19" fillId="0" borderId="19" xfId="25" applyNumberFormat="1" applyFont="1" applyFill="1" applyBorder="1" applyAlignment="1">
      <alignment horizontal="center" vertical="center" wrapText="1"/>
    </xf>
    <xf numFmtId="165" fontId="19" fillId="0" borderId="20" xfId="25" applyNumberFormat="1" applyFont="1" applyFill="1" applyBorder="1" applyAlignment="1">
      <alignment horizontal="center" vertical="center" wrapText="1"/>
    </xf>
    <xf numFmtId="165" fontId="19" fillId="18" borderId="19" xfId="25" applyNumberFormat="1" applyFont="1" applyFill="1" applyBorder="1" applyAlignment="1">
      <alignment horizontal="center" vertical="center" wrapText="1"/>
    </xf>
    <xf numFmtId="165" fontId="19" fillId="18" borderId="19" xfId="0" applyNumberFormat="1" applyFont="1" applyFill="1" applyBorder="1" applyAlignment="1">
      <alignment horizontal="center" vertical="center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/>
    </xf>
    <xf numFmtId="165" fontId="19" fillId="0" borderId="20" xfId="0" applyNumberFormat="1" applyFont="1" applyFill="1" applyBorder="1" applyAlignment="1">
      <alignment horizontal="center" vertical="center"/>
    </xf>
    <xf numFmtId="165" fontId="19" fillId="18" borderId="19" xfId="0" applyNumberFormat="1" applyFont="1" applyFill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5" fontId="19" fillId="18" borderId="20" xfId="0" applyNumberFormat="1" applyFont="1" applyFill="1" applyBorder="1" applyAlignment="1">
      <alignment horizontal="center" vertical="center" wrapText="1"/>
    </xf>
    <xf numFmtId="165" fontId="19" fillId="18" borderId="21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5" fontId="19" fillId="18" borderId="22" xfId="0" applyNumberFormat="1" applyFont="1" applyFill="1" applyBorder="1" applyAlignment="1">
      <alignment horizontal="center" vertical="center" wrapText="1"/>
    </xf>
    <xf numFmtId="165" fontId="19" fillId="18" borderId="20" xfId="0" applyNumberFormat="1" applyFont="1" applyFill="1" applyBorder="1" applyAlignment="1">
      <alignment horizontal="center" vertical="center"/>
    </xf>
    <xf numFmtId="165" fontId="19" fillId="18" borderId="20" xfId="25" applyNumberFormat="1" applyFont="1" applyFill="1" applyBorder="1" applyAlignment="1">
      <alignment horizontal="center" vertical="center" wrapText="1"/>
    </xf>
    <xf numFmtId="165" fontId="19" fillId="18" borderId="21" xfId="0" applyNumberFormat="1" applyFont="1" applyFill="1" applyBorder="1" applyAlignment="1">
      <alignment horizontal="center" vertical="center"/>
    </xf>
    <xf numFmtId="165" fontId="19" fillId="0" borderId="21" xfId="0" applyNumberFormat="1" applyFont="1" applyFill="1" applyBorder="1" applyAlignment="1">
      <alignment horizontal="center" vertical="center"/>
    </xf>
    <xf numFmtId="165" fontId="19" fillId="0" borderId="21" xfId="25" applyNumberFormat="1" applyFont="1" applyFill="1" applyBorder="1" applyAlignment="1">
      <alignment horizontal="center" vertical="center" wrapText="1"/>
    </xf>
    <xf numFmtId="165" fontId="19" fillId="18" borderId="21" xfId="25" applyNumberFormat="1" applyFont="1" applyFill="1" applyBorder="1" applyAlignment="1">
      <alignment horizontal="center" vertical="center" wrapText="1"/>
    </xf>
    <xf numFmtId="165" fontId="19" fillId="0" borderId="20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25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0" borderId="25" xfId="25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15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165" fontId="19" fillId="18" borderId="2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5" fillId="16" borderId="30" xfId="25" applyNumberFormat="1" applyFont="1" applyFill="1" applyBorder="1" applyAlignment="1">
      <alignment horizontal="center" vertical="center" wrapText="1"/>
    </xf>
    <xf numFmtId="164" fontId="25" fillId="16" borderId="31" xfId="25" applyNumberFormat="1" applyFont="1" applyFill="1" applyBorder="1" applyAlignment="1">
      <alignment horizontal="center" vertical="center" wrapText="1"/>
    </xf>
    <xf numFmtId="164" fontId="25" fillId="16" borderId="32" xfId="25" applyNumberFormat="1" applyFont="1" applyFill="1" applyBorder="1" applyAlignment="1">
      <alignment horizontal="center" vertical="center" wrapText="1"/>
    </xf>
    <xf numFmtId="0" fontId="19" fillId="17" borderId="33" xfId="25" applyFont="1" applyFill="1" applyBorder="1" applyAlignment="1">
      <alignment horizontal="center" vertical="center" wrapText="1"/>
    </xf>
    <xf numFmtId="0" fontId="24" fillId="0" borderId="34" xfId="0" applyFont="1" applyBorder="1"/>
    <xf numFmtId="0" fontId="19" fillId="17" borderId="35" xfId="25" applyFont="1" applyFill="1" applyBorder="1" applyAlignment="1">
      <alignment horizontal="center" vertical="center" wrapText="1"/>
    </xf>
    <xf numFmtId="0" fontId="24" fillId="0" borderId="36" xfId="0" applyFont="1" applyBorder="1"/>
    <xf numFmtId="0" fontId="19" fillId="17" borderId="36" xfId="25" applyFont="1" applyFill="1" applyBorder="1" applyAlignment="1">
      <alignment horizontal="center" vertical="center" wrapText="1"/>
    </xf>
    <xf numFmtId="165" fontId="19" fillId="17" borderId="37" xfId="25" applyNumberFormat="1" applyFont="1" applyFill="1" applyBorder="1" applyAlignment="1">
      <alignment horizontal="center" vertical="center" wrapText="1"/>
    </xf>
    <xf numFmtId="165" fontId="19" fillId="17" borderId="38" xfId="25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727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38.85546875" customWidth="1"/>
    <col min="2" max="2" width="18.7109375" customWidth="1"/>
    <col min="3" max="3" width="42.28515625" customWidth="1"/>
    <col min="4" max="4" width="27.42578125" customWidth="1"/>
    <col min="5" max="5" width="13.140625" customWidth="1"/>
  </cols>
  <sheetData>
    <row r="1" spans="1:5" ht="15.75" x14ac:dyDescent="0.2">
      <c r="A1" s="38"/>
      <c r="B1" s="38"/>
      <c r="C1" s="38" t="s">
        <v>587</v>
      </c>
      <c r="D1" s="38"/>
      <c r="E1" s="39"/>
    </row>
    <row r="2" spans="1:5" ht="15.75" x14ac:dyDescent="0.2">
      <c r="A2" s="76" t="s">
        <v>588</v>
      </c>
      <c r="B2" s="76"/>
      <c r="C2" s="76"/>
      <c r="D2" s="76"/>
      <c r="E2" s="76"/>
    </row>
    <row r="3" spans="1:5" ht="15.75" x14ac:dyDescent="0.2">
      <c r="A3" s="38"/>
      <c r="B3" s="38"/>
      <c r="C3" s="38" t="s">
        <v>589</v>
      </c>
      <c r="D3" s="38"/>
      <c r="E3" s="39"/>
    </row>
    <row r="5" spans="1:5" ht="13.5" thickBot="1" x14ac:dyDescent="0.25"/>
    <row r="6" spans="1:5" ht="23.25" thickBot="1" x14ac:dyDescent="0.25">
      <c r="A6" s="77" t="s">
        <v>586</v>
      </c>
      <c r="B6" s="78"/>
      <c r="C6" s="79"/>
      <c r="D6" s="41"/>
      <c r="E6" s="42"/>
    </row>
    <row r="7" spans="1:5" x14ac:dyDescent="0.2">
      <c r="A7" s="80" t="s">
        <v>0</v>
      </c>
      <c r="B7" s="82" t="s">
        <v>1</v>
      </c>
      <c r="C7" s="82" t="s">
        <v>2</v>
      </c>
      <c r="D7" s="82" t="s">
        <v>3</v>
      </c>
      <c r="E7" s="85" t="s">
        <v>11</v>
      </c>
    </row>
    <row r="8" spans="1:5" ht="13.5" thickBot="1" x14ac:dyDescent="0.25">
      <c r="A8" s="81"/>
      <c r="B8" s="83"/>
      <c r="C8" s="83"/>
      <c r="D8" s="84"/>
      <c r="E8" s="86"/>
    </row>
    <row r="9" spans="1:5" ht="28.5" x14ac:dyDescent="0.2">
      <c r="A9" s="65" t="s">
        <v>644</v>
      </c>
      <c r="B9" s="7" t="s">
        <v>4</v>
      </c>
      <c r="C9" s="25" t="s">
        <v>205</v>
      </c>
      <c r="D9" s="26" t="s">
        <v>204</v>
      </c>
      <c r="E9" s="43">
        <f>0.58-0.288</f>
        <v>0.29199999999999998</v>
      </c>
    </row>
    <row r="10" spans="1:5" ht="28.5" x14ac:dyDescent="0.2">
      <c r="A10" s="65" t="s">
        <v>644</v>
      </c>
      <c r="B10" s="1" t="s">
        <v>16</v>
      </c>
      <c r="C10" s="25" t="s">
        <v>548</v>
      </c>
      <c r="D10" s="25" t="s">
        <v>224</v>
      </c>
      <c r="E10" s="44">
        <f>0.51-0.376</f>
        <v>0.13400000000000001</v>
      </c>
    </row>
    <row r="11" spans="1:5" ht="28.5" x14ac:dyDescent="0.2">
      <c r="A11" s="65" t="s">
        <v>644</v>
      </c>
      <c r="B11" s="7" t="s">
        <v>4</v>
      </c>
      <c r="C11" s="7" t="s">
        <v>45</v>
      </c>
      <c r="D11" s="26" t="s">
        <v>188</v>
      </c>
      <c r="E11" s="43">
        <f>7-0.079-0.024-0.004-0.004-0.008-0.02-0.028-0.008-0.004-0.016-0.012</f>
        <v>6.7930000000000028</v>
      </c>
    </row>
    <row r="12" spans="1:5" ht="28.5" x14ac:dyDescent="0.2">
      <c r="A12" s="65" t="s">
        <v>644</v>
      </c>
      <c r="B12" s="7" t="s">
        <v>4</v>
      </c>
      <c r="C12" s="7" t="s">
        <v>205</v>
      </c>
      <c r="D12" s="26" t="s">
        <v>56</v>
      </c>
      <c r="E12" s="43">
        <f>4.764-0.174-0.005-0.02-0.01-0.005-0.01-0.005-0.005-0.005-0.499-0.02-0.05-0.01-0.3-0.005-0.005-0.015-0.005-0.049-0.2-0.005-0.005-0.005-0.201-0.01-0.02-0.005-0.299-0.01-0.005-0.353-0.02-0.1-0.005-0.025</f>
        <v>2.2990000000000035</v>
      </c>
    </row>
    <row r="13" spans="1:5" ht="28.5" x14ac:dyDescent="0.2">
      <c r="A13" s="65" t="s">
        <v>644</v>
      </c>
      <c r="B13" s="7" t="s">
        <v>4</v>
      </c>
      <c r="C13" s="7" t="s">
        <v>205</v>
      </c>
      <c r="D13" s="26" t="s">
        <v>56</v>
      </c>
      <c r="E13" s="43">
        <f>2.388</f>
        <v>2.3879999999999999</v>
      </c>
    </row>
    <row r="14" spans="1:5" ht="28.5" x14ac:dyDescent="0.2">
      <c r="A14" s="65" t="s">
        <v>644</v>
      </c>
      <c r="B14" s="7" t="s">
        <v>4</v>
      </c>
      <c r="C14" s="7" t="s">
        <v>45</v>
      </c>
      <c r="D14" s="26" t="s">
        <v>57</v>
      </c>
      <c r="E14" s="45">
        <f>0.651-0.434-0.217+0.03</f>
        <v>3.0000000000000027E-2</v>
      </c>
    </row>
    <row r="15" spans="1:5" ht="28.5" x14ac:dyDescent="0.2">
      <c r="A15" s="65" t="s">
        <v>644</v>
      </c>
      <c r="B15" s="7" t="s">
        <v>4</v>
      </c>
      <c r="C15" s="7" t="s">
        <v>417</v>
      </c>
      <c r="D15" s="26" t="s">
        <v>57</v>
      </c>
      <c r="E15" s="43">
        <f>9.548-1.704-0.746-0.303-1-0.03-0.006</f>
        <v>5.7590000000000003</v>
      </c>
    </row>
    <row r="16" spans="1:5" ht="28.5" x14ac:dyDescent="0.2">
      <c r="A16" s="65" t="s">
        <v>644</v>
      </c>
      <c r="B16" s="7" t="s">
        <v>4</v>
      </c>
      <c r="C16" s="25" t="s">
        <v>305</v>
      </c>
      <c r="D16" s="26" t="s">
        <v>201</v>
      </c>
      <c r="E16" s="45">
        <f>4.8-0.05-0.22-0.049-0.245-0.245-0.025-0.025-0.025-0.369-0.024-0.025-0.097-0.05-0.025-0.05</f>
        <v>3.2760000000000002</v>
      </c>
    </row>
    <row r="17" spans="1:5" ht="28.5" x14ac:dyDescent="0.2">
      <c r="A17" s="65" t="s">
        <v>644</v>
      </c>
      <c r="B17" s="7" t="s">
        <v>4</v>
      </c>
      <c r="C17" s="7" t="s">
        <v>417</v>
      </c>
      <c r="D17" s="19" t="s">
        <v>51</v>
      </c>
      <c r="E17" s="46">
        <f>9.828-1.002-0.15-0.198-0.1-0.036-0.009-0.027-0.306-0.009</f>
        <v>7.9909999999999988</v>
      </c>
    </row>
    <row r="18" spans="1:5" ht="28.5" x14ac:dyDescent="0.2">
      <c r="A18" s="65" t="s">
        <v>644</v>
      </c>
      <c r="B18" s="7" t="s">
        <v>4</v>
      </c>
      <c r="C18" s="7" t="s">
        <v>96</v>
      </c>
      <c r="D18" s="26" t="s">
        <v>43</v>
      </c>
      <c r="E18" s="43">
        <f>21.038-2.37-0.055-3.7-0.893-0.044-0.054-0.022-2.626-0.011-0.198-1.25-0.095-0.499-0.209-0.238-2.652-0.302-0.055-0.033-2.455-0.958-0.998-0.43-0.011-0.746</f>
        <v>0.13399999999999912</v>
      </c>
    </row>
    <row r="19" spans="1:5" ht="28.5" x14ac:dyDescent="0.2">
      <c r="A19" s="65" t="s">
        <v>644</v>
      </c>
      <c r="B19" s="7" t="s">
        <v>4</v>
      </c>
      <c r="C19" s="7" t="s">
        <v>417</v>
      </c>
      <c r="D19" s="26" t="s">
        <v>43</v>
      </c>
      <c r="E19" s="45">
        <f>4.933-2.838-0.123-0.062-0.033-0.011-0.155-0.011-0.38-0.011-1.025-0.011-0.11</f>
        <v>0.16300000000000003</v>
      </c>
    </row>
    <row r="20" spans="1:5" ht="28.5" x14ac:dyDescent="0.2">
      <c r="A20" s="65" t="s">
        <v>644</v>
      </c>
      <c r="B20" s="7" t="s">
        <v>4</v>
      </c>
      <c r="C20" s="7" t="s">
        <v>417</v>
      </c>
      <c r="D20" s="26" t="s">
        <v>43</v>
      </c>
      <c r="E20" s="45">
        <f>9.878</f>
        <v>9.8780000000000001</v>
      </c>
    </row>
    <row r="21" spans="1:5" ht="28.5" x14ac:dyDescent="0.2">
      <c r="A21" s="65" t="s">
        <v>644</v>
      </c>
      <c r="B21" s="7" t="s">
        <v>4</v>
      </c>
      <c r="C21" s="25" t="s">
        <v>306</v>
      </c>
      <c r="D21" s="26" t="s">
        <v>78</v>
      </c>
      <c r="E21" s="43">
        <f>4.71-0.142-0.398-0.037-0.037-0.037-0.362-0.037-0.037-0.037-0.506-0.322-0.616-0.037-0.037-0.504-0.037-0.037-0.111-0.11-0.111-0.037-0.037-0.109-0.037-0.037-0.29-0.037-0.037-0.108-0.18-0.037-0.185</f>
        <v>2.7000000000000163E-2</v>
      </c>
    </row>
    <row r="22" spans="1:5" ht="28.5" x14ac:dyDescent="0.2">
      <c r="A22" s="65" t="s">
        <v>644</v>
      </c>
      <c r="B22" s="7" t="s">
        <v>4</v>
      </c>
      <c r="C22" s="7" t="s">
        <v>96</v>
      </c>
      <c r="D22" s="26" t="s">
        <v>82</v>
      </c>
      <c r="E22" s="43">
        <f>2.048-0.253-0.099-0.036-0.056-0.048-0.059-0.012-0.048-0.024-0.036-0.012-0.012-0.012-0.12-0.012</f>
        <v>1.2089999999999996</v>
      </c>
    </row>
    <row r="23" spans="1:5" ht="28.5" x14ac:dyDescent="0.2">
      <c r="A23" s="65" t="s">
        <v>644</v>
      </c>
      <c r="B23" s="7" t="s">
        <v>4</v>
      </c>
      <c r="C23" s="7" t="s">
        <v>96</v>
      </c>
      <c r="D23" s="26" t="s">
        <v>82</v>
      </c>
      <c r="E23" s="43">
        <f>2.874</f>
        <v>2.8740000000000001</v>
      </c>
    </row>
    <row r="24" spans="1:5" ht="28.5" x14ac:dyDescent="0.2">
      <c r="A24" s="65" t="s">
        <v>644</v>
      </c>
      <c r="B24" s="7" t="s">
        <v>4</v>
      </c>
      <c r="C24" s="7" t="s">
        <v>96</v>
      </c>
      <c r="D24" s="26" t="s">
        <v>63</v>
      </c>
      <c r="E24" s="43">
        <f>0.962-0.147-0.024</f>
        <v>0.79099999999999993</v>
      </c>
    </row>
    <row r="25" spans="1:5" ht="28.5" x14ac:dyDescent="0.2">
      <c r="A25" s="65" t="s">
        <v>644</v>
      </c>
      <c r="B25" s="7" t="s">
        <v>4</v>
      </c>
      <c r="C25" s="7" t="s">
        <v>45</v>
      </c>
      <c r="D25" s="26" t="s">
        <v>64</v>
      </c>
      <c r="E25" s="43">
        <f>0.99-0.013-0.297-0.013-0.05-0.013</f>
        <v>0.60399999999999987</v>
      </c>
    </row>
    <row r="26" spans="1:5" ht="28.5" x14ac:dyDescent="0.2">
      <c r="A26" s="65" t="s">
        <v>644</v>
      </c>
      <c r="B26" s="3" t="s">
        <v>4</v>
      </c>
      <c r="C26" s="7" t="s">
        <v>96</v>
      </c>
      <c r="D26" s="19" t="s">
        <v>89</v>
      </c>
      <c r="E26" s="47">
        <f>5.48-0.104-0.122-0.018-1.005-0.018-0.5-0.106-0.278-0.19-0.018-0.053-0.105</f>
        <v>2.9630000000000014</v>
      </c>
    </row>
    <row r="27" spans="1:5" ht="28.5" x14ac:dyDescent="0.2">
      <c r="A27" s="65" t="s">
        <v>644</v>
      </c>
      <c r="B27" s="3" t="s">
        <v>4</v>
      </c>
      <c r="C27" s="7" t="s">
        <v>96</v>
      </c>
      <c r="D27" s="19" t="s">
        <v>89</v>
      </c>
      <c r="E27" s="47">
        <f>5.22</f>
        <v>5.22</v>
      </c>
    </row>
    <row r="28" spans="1:5" ht="28.5" x14ac:dyDescent="0.2">
      <c r="A28" s="65" t="s">
        <v>644</v>
      </c>
      <c r="B28" s="7" t="s">
        <v>4</v>
      </c>
      <c r="C28" s="21" t="s">
        <v>42</v>
      </c>
      <c r="D28" s="19" t="s">
        <v>46</v>
      </c>
      <c r="E28" s="48">
        <f>0.664-0.132-0.022-0.31-0.167</f>
        <v>3.3000000000000002E-2</v>
      </c>
    </row>
    <row r="29" spans="1:5" ht="28.5" x14ac:dyDescent="0.2">
      <c r="A29" s="65" t="s">
        <v>644</v>
      </c>
      <c r="B29" s="7" t="s">
        <v>4</v>
      </c>
      <c r="C29" s="21" t="s">
        <v>42</v>
      </c>
      <c r="D29" s="19" t="s">
        <v>49</v>
      </c>
      <c r="E29" s="49">
        <f>0.407-0.033-0.011-0.044-0.011-0.011-0.011-0.022-0.011-0.011-0.011-0.021-0.011-0.011-0.011+0.027</f>
        <v>0.2039999999999999</v>
      </c>
    </row>
    <row r="30" spans="1:5" ht="28.5" x14ac:dyDescent="0.2">
      <c r="A30" s="65" t="s">
        <v>644</v>
      </c>
      <c r="B30" s="7" t="s">
        <v>4</v>
      </c>
      <c r="C30" s="7" t="s">
        <v>96</v>
      </c>
      <c r="D30" s="19" t="s">
        <v>46</v>
      </c>
      <c r="E30" s="49">
        <f>7.854-0.081-0.71-0.065-0.022-0.501-0.128-0.21-0.042-0.022-0.21-0.105-1.206-0.022-0.106-0.022-0.314-0.044-0.21-0.022-0.022-0.293-0.998-0.209-0.208-0.105-0.416-0.5-0.309-0.29-0.022-0.168-0.044-0.022-0.103-0.059-0.022</f>
        <v>2.1999999999997834E-2</v>
      </c>
    </row>
    <row r="31" spans="1:5" ht="28.5" x14ac:dyDescent="0.2">
      <c r="A31" s="65" t="s">
        <v>644</v>
      </c>
      <c r="B31" s="7" t="s">
        <v>4</v>
      </c>
      <c r="C31" s="7" t="s">
        <v>96</v>
      </c>
      <c r="D31" s="19" t="s">
        <v>46</v>
      </c>
      <c r="E31" s="49">
        <f>2.51-1.72-0.749</f>
        <v>4.0999999999999814E-2</v>
      </c>
    </row>
    <row r="32" spans="1:5" ht="28.5" x14ac:dyDescent="0.2">
      <c r="A32" s="65" t="s">
        <v>644</v>
      </c>
      <c r="B32" s="1" t="s">
        <v>23</v>
      </c>
      <c r="C32" s="7" t="s">
        <v>205</v>
      </c>
      <c r="D32" s="10" t="s">
        <v>288</v>
      </c>
      <c r="E32" s="52">
        <f>0.5-0.052-0.02-0.05-0.004-0.002-0.002-0.05-0.002</f>
        <v>0.318</v>
      </c>
    </row>
    <row r="33" spans="1:5" ht="28.5" x14ac:dyDescent="0.2">
      <c r="A33" s="65" t="s">
        <v>644</v>
      </c>
      <c r="B33" s="1" t="s">
        <v>23</v>
      </c>
      <c r="C33" s="7" t="s">
        <v>326</v>
      </c>
      <c r="D33" s="10" t="s">
        <v>324</v>
      </c>
      <c r="E33" s="52">
        <f>0.89-0.151-0.05-0.0125</f>
        <v>0.67649999999999999</v>
      </c>
    </row>
    <row r="34" spans="1:5" ht="28.5" x14ac:dyDescent="0.2">
      <c r="A34" s="65" t="s">
        <v>644</v>
      </c>
      <c r="B34" s="1" t="s">
        <v>23</v>
      </c>
      <c r="C34" s="7" t="s">
        <v>326</v>
      </c>
      <c r="D34" s="10" t="s">
        <v>325</v>
      </c>
      <c r="E34" s="52">
        <f>1.19-0.1-0.0052-0.0026-0.0026-0.299-0.0026-0.013</f>
        <v>0.7649999999999999</v>
      </c>
    </row>
    <row r="35" spans="1:5" ht="28.5" x14ac:dyDescent="0.2">
      <c r="A35" s="65" t="s">
        <v>644</v>
      </c>
      <c r="B35" s="1" t="s">
        <v>23</v>
      </c>
      <c r="C35" s="7" t="s">
        <v>326</v>
      </c>
      <c r="D35" s="10" t="s">
        <v>327</v>
      </c>
      <c r="E35" s="52">
        <f>0.89-0.02-0.1-0.0036-0.015-0.0036-0.0036-0.037</f>
        <v>0.70719999999999983</v>
      </c>
    </row>
    <row r="36" spans="1:5" ht="28.5" x14ac:dyDescent="0.2">
      <c r="A36" s="65" t="s">
        <v>644</v>
      </c>
      <c r="B36" s="1" t="s">
        <v>23</v>
      </c>
      <c r="C36" s="7" t="s">
        <v>205</v>
      </c>
      <c r="D36" s="10" t="s">
        <v>289</v>
      </c>
      <c r="E36" s="52">
        <f>0.23-0.1-0.05-0.003-0.003-0.003-0.015-0.009-0.003</f>
        <v>4.3999999999999991E-2</v>
      </c>
    </row>
    <row r="37" spans="1:5" ht="28.5" x14ac:dyDescent="0.2">
      <c r="A37" s="65" t="s">
        <v>644</v>
      </c>
      <c r="B37" s="1" t="s">
        <v>23</v>
      </c>
      <c r="C37" s="7" t="s">
        <v>326</v>
      </c>
      <c r="D37" s="10" t="s">
        <v>328</v>
      </c>
      <c r="E37" s="52">
        <f>1.46-0.1-0.012-0.016-0.004-0.004-0.299-0.008</f>
        <v>1.0169999999999999</v>
      </c>
    </row>
    <row r="38" spans="1:5" ht="28.5" x14ac:dyDescent="0.2">
      <c r="A38" s="65" t="s">
        <v>644</v>
      </c>
      <c r="B38" s="1" t="s">
        <v>23</v>
      </c>
      <c r="C38" s="7" t="s">
        <v>326</v>
      </c>
      <c r="D38" s="10" t="s">
        <v>329</v>
      </c>
      <c r="E38" s="52">
        <f>2.9-0.099-0.152-0.015-0.005-0.015-0.01-0.005-0.005-0.005-0.01-0.025-0.02-0.005-0.1-0.501+0.02-1-0.005-0.02+1</f>
        <v>1.9230000000000005</v>
      </c>
    </row>
    <row r="39" spans="1:5" ht="28.5" x14ac:dyDescent="0.2">
      <c r="A39" s="65" t="s">
        <v>644</v>
      </c>
      <c r="B39" s="1" t="s">
        <v>23</v>
      </c>
      <c r="C39" s="7" t="s">
        <v>326</v>
      </c>
      <c r="D39" s="10" t="s">
        <v>330</v>
      </c>
      <c r="E39" s="52">
        <f>0.91-0.098-0.024-0.006-0.006-0.012-0.098-0.03-0.012-0.018-0.201-0.006</f>
        <v>0.39899999999999997</v>
      </c>
    </row>
    <row r="40" spans="1:5" ht="28.5" x14ac:dyDescent="0.2">
      <c r="A40" s="65" t="s">
        <v>644</v>
      </c>
      <c r="B40" s="1" t="s">
        <v>23</v>
      </c>
      <c r="C40" s="7" t="s">
        <v>205</v>
      </c>
      <c r="D40" s="10" t="s">
        <v>290</v>
      </c>
      <c r="E40" s="52">
        <f>0.94-0.5-0.06-0.025-0.02-0.02-0.006-0.005-0.09-0.05-0.085-0.005-0.02-0.005-0.005-0.005</f>
        <v>3.8999999999999861E-2</v>
      </c>
    </row>
    <row r="41" spans="1:5" ht="28.5" x14ac:dyDescent="0.2">
      <c r="A41" s="65" t="s">
        <v>644</v>
      </c>
      <c r="B41" s="1" t="s">
        <v>23</v>
      </c>
      <c r="C41" s="7" t="s">
        <v>326</v>
      </c>
      <c r="D41" s="10" t="s">
        <v>331</v>
      </c>
      <c r="E41" s="52">
        <f>3.69-0.151-0.008-0.024-0.008-0.008-0.008-0.04-0.079-0.008-0.008-0.032-0.04</f>
        <v>3.2759999999999998</v>
      </c>
    </row>
    <row r="42" spans="1:5" ht="28.5" x14ac:dyDescent="0.2">
      <c r="A42" s="65" t="s">
        <v>644</v>
      </c>
      <c r="B42" s="1" t="s">
        <v>23</v>
      </c>
      <c r="C42" s="7" t="s">
        <v>326</v>
      </c>
      <c r="D42" s="10" t="s">
        <v>332</v>
      </c>
      <c r="E42" s="52">
        <f>1.82-0.02-0.049-0.145-0.02-0.01-0.01-0.02-0.02-0.02-0.494-0.01-0.01-0.097</f>
        <v>0.89500000000000002</v>
      </c>
    </row>
    <row r="43" spans="1:5" ht="28.5" x14ac:dyDescent="0.2">
      <c r="A43" s="65" t="s">
        <v>644</v>
      </c>
      <c r="B43" s="16" t="s">
        <v>6</v>
      </c>
      <c r="C43" s="14" t="s">
        <v>36</v>
      </c>
      <c r="D43" s="25" t="s">
        <v>79</v>
      </c>
      <c r="E43" s="44">
        <f>1.53-0.498-0.0035-0.0105-0.007-0.007-0.0035-0.023+0.0055-0.004-0.0105-0.0035-0.0035-0.956</f>
        <v>5.5000000000002824E-3</v>
      </c>
    </row>
    <row r="44" spans="1:5" ht="28.5" x14ac:dyDescent="0.2">
      <c r="A44" s="65" t="s">
        <v>644</v>
      </c>
      <c r="B44" s="16" t="s">
        <v>6</v>
      </c>
      <c r="C44" s="14" t="s">
        <v>36</v>
      </c>
      <c r="D44" s="25" t="s">
        <v>41</v>
      </c>
      <c r="E44" s="44">
        <f>2-1.33-0.012-0.008+0.012-0.101-0.252</f>
        <v>0.30899999999999994</v>
      </c>
    </row>
    <row r="45" spans="1:5" ht="28.5" x14ac:dyDescent="0.2">
      <c r="A45" s="65" t="s">
        <v>644</v>
      </c>
      <c r="B45" s="16" t="s">
        <v>6</v>
      </c>
      <c r="C45" s="14" t="s">
        <v>36</v>
      </c>
      <c r="D45" s="25" t="s">
        <v>41</v>
      </c>
      <c r="E45" s="44">
        <f>1.43-0.469-0.3</f>
        <v>0.66100000000000003</v>
      </c>
    </row>
    <row r="46" spans="1:5" ht="28.5" x14ac:dyDescent="0.2">
      <c r="A46" s="65" t="s">
        <v>644</v>
      </c>
      <c r="B46" s="16" t="s">
        <v>6</v>
      </c>
      <c r="C46" s="14" t="s">
        <v>36</v>
      </c>
      <c r="D46" s="25" t="s">
        <v>60</v>
      </c>
      <c r="E46" s="44">
        <f>1.935-0.0045-0.384-0.0045-0.053-0.0135-0.0045-0.018-0.009-0.048-0.048-0.101-0.053-0.049-0.3-0.098-0.2-0.049</f>
        <v>0.49800000000000016</v>
      </c>
    </row>
    <row r="47" spans="1:5" ht="28.5" x14ac:dyDescent="0.2">
      <c r="A47" s="65" t="s">
        <v>644</v>
      </c>
      <c r="B47" s="16" t="s">
        <v>6</v>
      </c>
      <c r="C47" s="14" t="s">
        <v>36</v>
      </c>
      <c r="D47" s="25" t="s">
        <v>372</v>
      </c>
      <c r="E47" s="44">
        <f>1.53-1-0.401</f>
        <v>0.129</v>
      </c>
    </row>
    <row r="48" spans="1:5" ht="28.5" x14ac:dyDescent="0.2">
      <c r="A48" s="65" t="s">
        <v>644</v>
      </c>
      <c r="B48" s="20" t="s">
        <v>6</v>
      </c>
      <c r="C48" s="20" t="s">
        <v>112</v>
      </c>
      <c r="D48" s="12" t="s">
        <v>33</v>
      </c>
      <c r="E48" s="51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-0.9-0.019-0.019-0.037-0.019-0.493-0.019</f>
        <v>5.1789999999999985</v>
      </c>
    </row>
    <row r="49" spans="1:5" ht="28.5" x14ac:dyDescent="0.2">
      <c r="A49" s="65" t="s">
        <v>644</v>
      </c>
      <c r="B49" s="20" t="s">
        <v>6</v>
      </c>
      <c r="C49" s="20" t="s">
        <v>112</v>
      </c>
      <c r="D49" s="12" t="s">
        <v>33</v>
      </c>
      <c r="E49" s="51">
        <f>2.89-1.49-0.055-0.993-0.056-0.107-0.055-0.038-0.018</f>
        <v>7.8000000000000222E-2</v>
      </c>
    </row>
    <row r="50" spans="1:5" ht="28.5" x14ac:dyDescent="0.2">
      <c r="A50" s="65" t="s">
        <v>644</v>
      </c>
      <c r="B50" s="20" t="s">
        <v>6</v>
      </c>
      <c r="C50" s="20" t="s">
        <v>229</v>
      </c>
      <c r="D50" s="12" t="s">
        <v>32</v>
      </c>
      <c r="E50" s="51">
        <f>18.04-7.13-0.091-0.495-0.024-0.09-5.82-0.023</f>
        <v>4.3670000000000027</v>
      </c>
    </row>
    <row r="51" spans="1:5" ht="28.5" x14ac:dyDescent="0.2">
      <c r="A51" s="65" t="s">
        <v>644</v>
      </c>
      <c r="B51" s="20" t="s">
        <v>6</v>
      </c>
      <c r="C51" s="20" t="s">
        <v>92</v>
      </c>
      <c r="D51" s="23" t="s">
        <v>31</v>
      </c>
      <c r="E51" s="47">
        <f>10.92-0.143-0.03-8.22-1.882-0.28-0.03-0.058-0.029-0.198</f>
        <v>4.9999999999999295E-2</v>
      </c>
    </row>
    <row r="52" spans="1:5" ht="28.5" x14ac:dyDescent="0.2">
      <c r="A52" s="65" t="s">
        <v>644</v>
      </c>
      <c r="B52" s="20" t="s">
        <v>6</v>
      </c>
      <c r="C52" s="20" t="s">
        <v>92</v>
      </c>
      <c r="D52" s="23" t="s">
        <v>31</v>
      </c>
      <c r="E52" s="47">
        <f>18.34-0.6-0.284-0.172-0.057-4.98-0.085-0.436-1-1.51-0.03-0.03-0.143-0.23-0.03-0.03-0.313-0.314-0.143-0.084-4.994-1.995-0.144-0.03-0.227-0.029-0.03-0.03-0.199-0.114-0.03-0.03+0.073-0.03</f>
        <v>6.0000000000000664E-2</v>
      </c>
    </row>
    <row r="53" spans="1:5" ht="28.5" x14ac:dyDescent="0.2">
      <c r="A53" s="65" t="s">
        <v>644</v>
      </c>
      <c r="B53" s="20" t="s">
        <v>6</v>
      </c>
      <c r="C53" s="20" t="s">
        <v>92</v>
      </c>
      <c r="D53" s="23" t="s">
        <v>31</v>
      </c>
      <c r="E53" s="47">
        <f>16.89-6.305-0.222-0.802-0.281-0.31-0.114</f>
        <v>8.8559999999999999</v>
      </c>
    </row>
    <row r="54" spans="1:5" ht="28.5" x14ac:dyDescent="0.2">
      <c r="A54" s="65" t="s">
        <v>644</v>
      </c>
      <c r="B54" s="20" t="s">
        <v>6</v>
      </c>
      <c r="C54" s="20" t="s">
        <v>229</v>
      </c>
      <c r="D54" s="23" t="s">
        <v>353</v>
      </c>
      <c r="E54" s="52">
        <f>0.076-0.014-0.031</f>
        <v>3.1E-2</v>
      </c>
    </row>
    <row r="55" spans="1:5" ht="28.5" x14ac:dyDescent="0.2">
      <c r="A55" s="65" t="s">
        <v>644</v>
      </c>
      <c r="B55" s="20" t="s">
        <v>6</v>
      </c>
      <c r="C55" s="20" t="s">
        <v>52</v>
      </c>
      <c r="D55" s="12" t="s">
        <v>35</v>
      </c>
      <c r="E55" s="51">
        <f>10.37-0.508</f>
        <v>9.8619999999999983</v>
      </c>
    </row>
    <row r="56" spans="1:5" ht="28.5" x14ac:dyDescent="0.2">
      <c r="A56" s="65" t="s">
        <v>644</v>
      </c>
      <c r="B56" s="20" t="s">
        <v>6</v>
      </c>
      <c r="C56" s="20" t="s">
        <v>52</v>
      </c>
      <c r="D56" s="12" t="s">
        <v>35</v>
      </c>
      <c r="E56" s="51">
        <f>10.51-0.413-0.184-1.016-0.047-0.502-0.504-1.474-0.093-0.138-0.093-0.461-0.048-0.092-0.092-0.142-0.915-0.048-1.242-1.008-0.818-0.728-0.184-0.095</f>
        <v>0.17299999999999929</v>
      </c>
    </row>
    <row r="57" spans="1:5" ht="28.5" x14ac:dyDescent="0.2">
      <c r="A57" s="65" t="s">
        <v>644</v>
      </c>
      <c r="B57" s="20" t="s">
        <v>6</v>
      </c>
      <c r="C57" s="20" t="s">
        <v>52</v>
      </c>
      <c r="D57" s="12" t="s">
        <v>35</v>
      </c>
      <c r="E57" s="51">
        <f>0.507</f>
        <v>0.50700000000000001</v>
      </c>
    </row>
    <row r="58" spans="1:5" ht="28.5" x14ac:dyDescent="0.2">
      <c r="A58" s="65" t="s">
        <v>644</v>
      </c>
      <c r="B58" s="20" t="s">
        <v>6</v>
      </c>
      <c r="C58" s="20" t="s">
        <v>52</v>
      </c>
      <c r="D58" s="12" t="s">
        <v>10</v>
      </c>
      <c r="E58" s="51">
        <v>2.4E-2</v>
      </c>
    </row>
    <row r="59" spans="1:5" ht="28.5" x14ac:dyDescent="0.2">
      <c r="A59" s="65" t="s">
        <v>644</v>
      </c>
      <c r="B59" s="20" t="s">
        <v>6</v>
      </c>
      <c r="C59" s="20" t="s">
        <v>52</v>
      </c>
      <c r="D59" s="12" t="s">
        <v>199</v>
      </c>
      <c r="E59" s="51">
        <v>1.6E-2</v>
      </c>
    </row>
    <row r="60" spans="1:5" ht="28.5" x14ac:dyDescent="0.2">
      <c r="A60" s="65" t="s">
        <v>644</v>
      </c>
      <c r="B60" s="20" t="s">
        <v>6</v>
      </c>
      <c r="C60" s="20" t="s">
        <v>92</v>
      </c>
      <c r="D60" s="12" t="s">
        <v>362</v>
      </c>
      <c r="E60" s="51">
        <f>18.99-0.225-1.525-0.281-1.01-0.113-0.113-0.499-0.395-0.057</f>
        <v>14.772</v>
      </c>
    </row>
    <row r="61" spans="1:5" ht="28.5" x14ac:dyDescent="0.2">
      <c r="A61" s="65" t="s">
        <v>644</v>
      </c>
      <c r="B61" s="20" t="s">
        <v>6</v>
      </c>
      <c r="C61" s="20" t="s">
        <v>50</v>
      </c>
      <c r="D61" s="12" t="s">
        <v>47</v>
      </c>
      <c r="E61" s="51">
        <f>2.966-0.11-0.055-0.055-0.113-0.055-0.054-0.055-0.055-0.055-0.111-0.055-0.333-0.164-0.511-0.223</f>
        <v>0.96199999999999919</v>
      </c>
    </row>
    <row r="62" spans="1:5" ht="28.5" x14ac:dyDescent="0.2">
      <c r="A62" s="65" t="s">
        <v>644</v>
      </c>
      <c r="B62" s="66" t="s">
        <v>6</v>
      </c>
      <c r="C62" s="16" t="s">
        <v>267</v>
      </c>
      <c r="D62" s="11" t="s">
        <v>266</v>
      </c>
      <c r="E62" s="52">
        <f>2.13-0.08</f>
        <v>2.0499999999999998</v>
      </c>
    </row>
    <row r="63" spans="1:5" ht="28.5" x14ac:dyDescent="0.2">
      <c r="A63" s="65" t="s">
        <v>644</v>
      </c>
      <c r="B63" s="8" t="s">
        <v>67</v>
      </c>
      <c r="C63" s="37" t="s">
        <v>152</v>
      </c>
      <c r="D63" s="28" t="s">
        <v>68</v>
      </c>
      <c r="E63" s="59">
        <f>0.278</f>
        <v>0.27800000000000002</v>
      </c>
    </row>
    <row r="64" spans="1:5" ht="28.5" x14ac:dyDescent="0.2">
      <c r="A64" s="65" t="s">
        <v>644</v>
      </c>
      <c r="B64" s="1" t="s">
        <v>24</v>
      </c>
      <c r="C64" s="3" t="s">
        <v>44</v>
      </c>
      <c r="D64" s="6" t="s">
        <v>59</v>
      </c>
      <c r="E64" s="47">
        <f>1.206-0.013-0.026-0.013-0.013-0.062-0.123-0.037-0.026-0.026-0.013</f>
        <v>0.85400000000000009</v>
      </c>
    </row>
    <row r="65" spans="1:5" ht="28.5" x14ac:dyDescent="0.2">
      <c r="A65" s="65" t="s">
        <v>644</v>
      </c>
      <c r="B65" s="1" t="s">
        <v>24</v>
      </c>
      <c r="C65" s="3" t="s">
        <v>44</v>
      </c>
      <c r="D65" s="6" t="s">
        <v>59</v>
      </c>
      <c r="E65" s="47">
        <f>5.48-0.306-0.102-0.038-0.049</f>
        <v>4.9849999999999994</v>
      </c>
    </row>
    <row r="66" spans="1:5" ht="28.5" x14ac:dyDescent="0.2">
      <c r="A66" s="65" t="s">
        <v>644</v>
      </c>
      <c r="B66" s="1" t="s">
        <v>24</v>
      </c>
      <c r="C66" s="3" t="s">
        <v>44</v>
      </c>
      <c r="D66" s="6" t="s">
        <v>110</v>
      </c>
      <c r="E66" s="47">
        <f>9.52-4.98-0.995-0.104</f>
        <v>3.4409999999999989</v>
      </c>
    </row>
    <row r="67" spans="1:5" ht="28.5" x14ac:dyDescent="0.2">
      <c r="A67" s="65" t="s">
        <v>644</v>
      </c>
      <c r="B67" s="1" t="s">
        <v>24</v>
      </c>
      <c r="C67" s="1" t="s">
        <v>25</v>
      </c>
      <c r="D67" s="6" t="s">
        <v>13</v>
      </c>
      <c r="E67" s="52">
        <f>2.345-2.005-0.008-0.04-0.008</f>
        <v>0.28400000000000031</v>
      </c>
    </row>
    <row r="68" spans="1:5" ht="28.5" x14ac:dyDescent="0.2">
      <c r="A68" s="65" t="s">
        <v>644</v>
      </c>
      <c r="B68" s="3" t="s">
        <v>24</v>
      </c>
      <c r="C68" s="3" t="s">
        <v>44</v>
      </c>
      <c r="D68" s="6" t="s">
        <v>30</v>
      </c>
      <c r="E68" s="52">
        <f>2.195-0.14-0.378-0.991-0.104-0.08-0.122-0.02-0.02-0.02-0.04-0.06-0.06-0.02</f>
        <v>0.13999999999999965</v>
      </c>
    </row>
    <row r="69" spans="1:5" ht="28.5" x14ac:dyDescent="0.2">
      <c r="A69" s="65" t="s">
        <v>644</v>
      </c>
      <c r="B69" s="3" t="s">
        <v>24</v>
      </c>
      <c r="C69" s="3" t="s">
        <v>104</v>
      </c>
      <c r="D69" s="15" t="s">
        <v>103</v>
      </c>
      <c r="E69" s="50">
        <f>0.363-0.014-0.1-0.074-0.012</f>
        <v>0.16299999999999998</v>
      </c>
    </row>
    <row r="70" spans="1:5" ht="28.5" x14ac:dyDescent="0.2">
      <c r="A70" s="65" t="s">
        <v>644</v>
      </c>
      <c r="B70" s="3" t="s">
        <v>24</v>
      </c>
      <c r="C70" s="16" t="s">
        <v>44</v>
      </c>
      <c r="D70" s="15" t="s">
        <v>54</v>
      </c>
      <c r="E70" s="50">
        <f>1.191-0.097-0.05-0.05-0.51-0.025-0.025-0.05-0.098-0.05-0.075-0.075-0.025-0.025-0.025</f>
        <v>1.099999999999992E-2</v>
      </c>
    </row>
    <row r="71" spans="1:5" ht="28.5" x14ac:dyDescent="0.2">
      <c r="A71" s="65" t="s">
        <v>644</v>
      </c>
      <c r="B71" s="16" t="s">
        <v>28</v>
      </c>
      <c r="C71" s="16" t="s">
        <v>44</v>
      </c>
      <c r="D71" s="6" t="s">
        <v>78</v>
      </c>
      <c r="E71" s="52">
        <f>10.39-0.554-0.037-0.518-3.518-0.111-0.111-0.109-1.996-1.52-0.366-0.037-0.298-0.037-0.184-0.22</f>
        <v>0.77399999999999958</v>
      </c>
    </row>
    <row r="72" spans="1:5" ht="28.5" x14ac:dyDescent="0.2">
      <c r="A72" s="65" t="s">
        <v>644</v>
      </c>
      <c r="B72" s="16" t="s">
        <v>28</v>
      </c>
      <c r="C72" s="16" t="s">
        <v>44</v>
      </c>
      <c r="D72" s="6" t="s">
        <v>146</v>
      </c>
      <c r="E72" s="47">
        <f>4.74-4.012-0.194-0.3</f>
        <v>0.23400000000000071</v>
      </c>
    </row>
    <row r="73" spans="1:5" ht="28.5" x14ac:dyDescent="0.2">
      <c r="A73" s="65" t="s">
        <v>644</v>
      </c>
      <c r="B73" s="16" t="s">
        <v>28</v>
      </c>
      <c r="C73" s="16" t="s">
        <v>44</v>
      </c>
      <c r="D73" s="6" t="s">
        <v>22</v>
      </c>
      <c r="E73" s="52">
        <f>1.764-0.188-0.062-0.128-0.314-0.065-0.502-0.062-0.062-0.063-0.19-0.06</f>
        <v>6.8000000000000116E-2</v>
      </c>
    </row>
    <row r="74" spans="1:5" ht="28.5" x14ac:dyDescent="0.2">
      <c r="A74" s="65" t="s">
        <v>644</v>
      </c>
      <c r="B74" s="14" t="s">
        <v>29</v>
      </c>
      <c r="C74" s="25" t="s">
        <v>273</v>
      </c>
      <c r="D74" s="27" t="s">
        <v>37</v>
      </c>
      <c r="E74" s="62">
        <f>2.824-0.5</f>
        <v>2.3239999999999998</v>
      </c>
    </row>
    <row r="75" spans="1:5" ht="28.5" x14ac:dyDescent="0.2">
      <c r="A75" s="65" t="s">
        <v>644</v>
      </c>
      <c r="B75" s="14" t="s">
        <v>29</v>
      </c>
      <c r="C75" s="25" t="s">
        <v>149</v>
      </c>
      <c r="D75" s="27" t="s">
        <v>41</v>
      </c>
      <c r="E75" s="61">
        <f>7.244-3.632-0.048-1.002-0.016-0.016-0.016-1-0.008-0.008</f>
        <v>1.4979999999999993</v>
      </c>
    </row>
    <row r="76" spans="1:5" ht="28.5" x14ac:dyDescent="0.2">
      <c r="A76" s="65" t="s">
        <v>644</v>
      </c>
      <c r="B76" s="14" t="s">
        <v>29</v>
      </c>
      <c r="C76" s="25" t="s">
        <v>149</v>
      </c>
      <c r="D76" s="27" t="s">
        <v>41</v>
      </c>
      <c r="E76" s="61">
        <f>4.524</f>
        <v>4.524</v>
      </c>
    </row>
    <row r="77" spans="1:5" ht="28.5" x14ac:dyDescent="0.2">
      <c r="A77" s="65" t="s">
        <v>644</v>
      </c>
      <c r="B77" s="14" t="s">
        <v>29</v>
      </c>
      <c r="C77" s="14" t="s">
        <v>38</v>
      </c>
      <c r="D77" s="25" t="s">
        <v>119</v>
      </c>
      <c r="E77" s="44">
        <f>1.01-0.522-0.156-0.016-0.016</f>
        <v>0.29999999999999993</v>
      </c>
    </row>
    <row r="78" spans="1:5" ht="28.5" x14ac:dyDescent="0.2">
      <c r="A78" s="65" t="s">
        <v>644</v>
      </c>
      <c r="B78" s="14" t="s">
        <v>29</v>
      </c>
      <c r="C78" s="14" t="s">
        <v>38</v>
      </c>
      <c r="D78" s="25" t="s">
        <v>107</v>
      </c>
      <c r="E78" s="44">
        <f>0.185</f>
        <v>0.185</v>
      </c>
    </row>
    <row r="79" spans="1:5" ht="28.5" x14ac:dyDescent="0.2">
      <c r="A79" s="65" t="s">
        <v>644</v>
      </c>
      <c r="B79" s="14" t="s">
        <v>29</v>
      </c>
      <c r="C79" s="14" t="s">
        <v>38</v>
      </c>
      <c r="D79" s="25" t="s">
        <v>48</v>
      </c>
      <c r="E79" s="44">
        <f>0.757-0.048-0.096-0.304-0.19-0.024</f>
        <v>9.5000000000000001E-2</v>
      </c>
    </row>
    <row r="80" spans="1:5" ht="28.5" x14ac:dyDescent="0.2">
      <c r="A80" s="65" t="s">
        <v>644</v>
      </c>
      <c r="B80" s="14" t="s">
        <v>29</v>
      </c>
      <c r="C80" s="14" t="s">
        <v>38</v>
      </c>
      <c r="D80" s="25" t="s">
        <v>48</v>
      </c>
      <c r="E80" s="44">
        <f>0.757</f>
        <v>0.75700000000000001</v>
      </c>
    </row>
    <row r="81" spans="1:5" ht="28.5" x14ac:dyDescent="0.2">
      <c r="A81" s="65" t="s">
        <v>644</v>
      </c>
      <c r="B81" s="14" t="s">
        <v>29</v>
      </c>
      <c r="C81" s="14" t="s">
        <v>38</v>
      </c>
      <c r="D81" s="25" t="s">
        <v>7</v>
      </c>
      <c r="E81" s="44">
        <f>1.09-0.993</f>
        <v>9.7000000000000086E-2</v>
      </c>
    </row>
    <row r="82" spans="1:5" ht="28.5" x14ac:dyDescent="0.2">
      <c r="A82" s="65" t="s">
        <v>644</v>
      </c>
      <c r="B82" s="14" t="s">
        <v>29</v>
      </c>
      <c r="C82" s="14" t="s">
        <v>38</v>
      </c>
      <c r="D82" s="25" t="s">
        <v>7</v>
      </c>
      <c r="E82" s="44">
        <f>1.935-0.074-0.26-0.19-0.226</f>
        <v>1.1850000000000001</v>
      </c>
    </row>
    <row r="83" spans="1:5" ht="28.5" x14ac:dyDescent="0.2">
      <c r="A83" s="65" t="s">
        <v>644</v>
      </c>
      <c r="B83" s="14" t="s">
        <v>29</v>
      </c>
      <c r="C83" s="14" t="s">
        <v>38</v>
      </c>
      <c r="D83" s="25" t="s">
        <v>8</v>
      </c>
      <c r="E83" s="44">
        <f>1.155</f>
        <v>1.155</v>
      </c>
    </row>
    <row r="84" spans="1:5" ht="28.5" x14ac:dyDescent="0.2">
      <c r="A84" s="65" t="s">
        <v>644</v>
      </c>
      <c r="B84" s="9" t="s">
        <v>17</v>
      </c>
      <c r="C84" s="2" t="s">
        <v>108</v>
      </c>
      <c r="D84" s="25" t="s">
        <v>57</v>
      </c>
      <c r="E84" s="44">
        <f>2.864-0.506-0.027-0.012-0.5</f>
        <v>1.8189999999999995</v>
      </c>
    </row>
    <row r="85" spans="1:5" ht="28.5" x14ac:dyDescent="0.2">
      <c r="A85" s="65" t="s">
        <v>644</v>
      </c>
      <c r="B85" s="9" t="s">
        <v>17</v>
      </c>
      <c r="C85" s="2" t="s">
        <v>108</v>
      </c>
      <c r="D85" s="25" t="s">
        <v>99</v>
      </c>
      <c r="E85" s="44">
        <f>2.69-0.007-0.214-0.028-0.007-0.007-0.014-0.007-0.248-0.102-0.062-0.205-0.021-0.505-0.049-0.007-0.206-0.083</f>
        <v>0.91799999999999971</v>
      </c>
    </row>
    <row r="86" spans="1:5" ht="28.5" x14ac:dyDescent="0.2">
      <c r="A86" s="65" t="s">
        <v>644</v>
      </c>
      <c r="B86" s="9" t="s">
        <v>17</v>
      </c>
      <c r="C86" s="2" t="s">
        <v>108</v>
      </c>
      <c r="D86" s="25" t="s">
        <v>43</v>
      </c>
      <c r="E86" s="44">
        <f>3.422-0.991-0.011-0.011-0.011-0.044-0.011-0.011-0.044-0.11-0.094-0.033-0.011-0.105-0.105-0.022-0.105-0.156-0.011-0.011-0.157-0.011-0.011-0.011-0.033-0.415-0.063-0.033-0.011-0.033-0.053</f>
        <v>0.69400000000000017</v>
      </c>
    </row>
    <row r="87" spans="1:5" ht="28.5" x14ac:dyDescent="0.2">
      <c r="A87" s="65" t="s">
        <v>644</v>
      </c>
      <c r="B87" s="9" t="s">
        <v>17</v>
      </c>
      <c r="C87" s="2" t="s">
        <v>108</v>
      </c>
      <c r="D87" s="6" t="s">
        <v>100</v>
      </c>
      <c r="E87" s="47">
        <f>3.07-0.097-0.152-0.301-0.03-0.14-0.03-0.014-0.015-0.11-0.056-0.015-0.015-0.015-0.015-0.015-0.015-0.045-0.07-0.015-0.274-0.045-0.045</f>
        <v>1.5409999999999995</v>
      </c>
    </row>
    <row r="88" spans="1:5" ht="28.5" x14ac:dyDescent="0.2">
      <c r="A88" s="65" t="s">
        <v>644</v>
      </c>
      <c r="B88" s="9" t="s">
        <v>80</v>
      </c>
      <c r="C88" s="2" t="s">
        <v>101</v>
      </c>
      <c r="D88" s="25" t="s">
        <v>277</v>
      </c>
      <c r="E88" s="44">
        <f>6.947-5.266-0.052-0.998</f>
        <v>0.63100000000000001</v>
      </c>
    </row>
    <row r="89" spans="1:5" ht="28.5" x14ac:dyDescent="0.2">
      <c r="A89" s="65" t="s">
        <v>644</v>
      </c>
      <c r="B89" s="9" t="s">
        <v>80</v>
      </c>
      <c r="C89" s="2" t="s">
        <v>101</v>
      </c>
      <c r="D89" s="25" t="s">
        <v>277</v>
      </c>
      <c r="E89" s="44">
        <f>1.719</f>
        <v>1.7190000000000001</v>
      </c>
    </row>
    <row r="90" spans="1:5" ht="28.5" x14ac:dyDescent="0.2">
      <c r="A90" s="65" t="s">
        <v>644</v>
      </c>
      <c r="B90" s="7" t="s">
        <v>488</v>
      </c>
      <c r="C90" s="25" t="s">
        <v>44</v>
      </c>
      <c r="D90" s="26" t="s">
        <v>78</v>
      </c>
      <c r="E90" s="43">
        <f>7.429-0.227-0.075-0.153-0.376-0.037-0.037-0.113-0.037-0.074-0.037-0.374-0.037-0.375-0.374-0.037-0.037-0.555-0.148-0.48-0.037-0.743-0.406-0.037-0.037-0.145-1.084-0.615-0.037-0.36</f>
        <v>0.34500000000000153</v>
      </c>
    </row>
    <row r="91" spans="1:5" ht="28.5" x14ac:dyDescent="0.2">
      <c r="A91" s="67" t="s">
        <v>644</v>
      </c>
      <c r="B91" s="7" t="s">
        <v>488</v>
      </c>
      <c r="C91" s="25" t="s">
        <v>44</v>
      </c>
      <c r="D91" s="25" t="s">
        <v>78</v>
      </c>
      <c r="E91" s="44">
        <f>0.871</f>
        <v>0.871</v>
      </c>
    </row>
    <row r="92" spans="1:5" ht="28.5" x14ac:dyDescent="0.2">
      <c r="A92" s="68" t="s">
        <v>645</v>
      </c>
      <c r="B92" s="2" t="s">
        <v>4</v>
      </c>
      <c r="C92" s="16" t="s">
        <v>347</v>
      </c>
      <c r="D92" s="6" t="s">
        <v>97</v>
      </c>
      <c r="E92" s="48">
        <f>0.029</f>
        <v>2.9000000000000001E-2</v>
      </c>
    </row>
    <row r="93" spans="1:5" ht="28.5" x14ac:dyDescent="0.2">
      <c r="A93" s="68" t="s">
        <v>645</v>
      </c>
      <c r="B93" s="16" t="s">
        <v>4</v>
      </c>
      <c r="C93" s="16" t="s">
        <v>347</v>
      </c>
      <c r="D93" s="16" t="s">
        <v>7</v>
      </c>
      <c r="E93" s="46">
        <f>3.502-0.2-0.066-0.166-0.032-0.066-0.034-0.034-0.068-0.034-0.034-0.502-0.03-0.032-0.34-0.1</f>
        <v>1.7640000000000009</v>
      </c>
    </row>
    <row r="94" spans="1:5" ht="28.5" x14ac:dyDescent="0.2">
      <c r="A94" s="68" t="s">
        <v>645</v>
      </c>
      <c r="B94" s="2" t="s">
        <v>4</v>
      </c>
      <c r="C94" s="2" t="s">
        <v>20</v>
      </c>
      <c r="D94" s="11" t="s">
        <v>10</v>
      </c>
      <c r="E94" s="48">
        <f>1.93-0.026-0.026-0.026-0.175-0.025-0.025-0.1-0.025-0.025-0.29-0.051-1.004-0.026-0.022-0.048+0.014-0.034</f>
        <v>1.6000000000000125E-2</v>
      </c>
    </row>
    <row r="95" spans="1:5" ht="28.5" x14ac:dyDescent="0.2">
      <c r="A95" s="68" t="s">
        <v>645</v>
      </c>
      <c r="B95" s="16" t="s">
        <v>4</v>
      </c>
      <c r="C95" s="16" t="s">
        <v>234</v>
      </c>
      <c r="D95" s="18" t="s">
        <v>5</v>
      </c>
      <c r="E95" s="46">
        <f>5.395-0.042-0.039-0.122-0.334-0.042-0.082-0.414-0.126-0.041-0.328-0.482-0.04-0.082-0.122</f>
        <v>3.0990000000000011</v>
      </c>
    </row>
    <row r="96" spans="1:5" ht="28.5" x14ac:dyDescent="0.2">
      <c r="A96" s="68" t="s">
        <v>645</v>
      </c>
      <c r="B96" s="16" t="s">
        <v>4</v>
      </c>
      <c r="C96" s="16" t="s">
        <v>234</v>
      </c>
      <c r="D96" s="16" t="s">
        <v>8</v>
      </c>
      <c r="E96" s="46">
        <f>0.222-0.044</f>
        <v>0.17799999999999999</v>
      </c>
    </row>
    <row r="97" spans="1:5" ht="28.5" x14ac:dyDescent="0.2">
      <c r="A97" s="68" t="s">
        <v>645</v>
      </c>
      <c r="B97" s="16" t="s">
        <v>4</v>
      </c>
      <c r="C97" s="16" t="s">
        <v>234</v>
      </c>
      <c r="D97" s="16" t="s">
        <v>8</v>
      </c>
      <c r="E97" s="46">
        <f>5.06-0.1</f>
        <v>4.96</v>
      </c>
    </row>
    <row r="98" spans="1:5" ht="28.5" x14ac:dyDescent="0.2">
      <c r="A98" s="68" t="s">
        <v>645</v>
      </c>
      <c r="B98" s="2" t="s">
        <v>4</v>
      </c>
      <c r="C98" s="16" t="s">
        <v>234</v>
      </c>
      <c r="D98" s="15" t="s">
        <v>111</v>
      </c>
      <c r="E98" s="46">
        <f>19.105-0.53-2.384-2.614-2.378-0.062-2.396-0.116-2.35-2.987-0.303-2.94</f>
        <v>4.5000000000000373E-2</v>
      </c>
    </row>
    <row r="99" spans="1:5" ht="28.5" x14ac:dyDescent="0.2">
      <c r="A99" s="68" t="s">
        <v>645</v>
      </c>
      <c r="B99" s="2" t="s">
        <v>4</v>
      </c>
      <c r="C99" s="16" t="s">
        <v>234</v>
      </c>
      <c r="D99" s="15" t="s">
        <v>47</v>
      </c>
      <c r="E99" s="46">
        <f>1.565-0.116-0.058-0.058-0.114-0.054</f>
        <v>1.1649999999999996</v>
      </c>
    </row>
    <row r="100" spans="1:5" ht="28.5" x14ac:dyDescent="0.2">
      <c r="A100" s="68" t="s">
        <v>645</v>
      </c>
      <c r="B100" s="2" t="s">
        <v>4</v>
      </c>
      <c r="C100" s="3" t="s">
        <v>102</v>
      </c>
      <c r="D100" s="15" t="s">
        <v>9</v>
      </c>
      <c r="E100" s="50">
        <f>5.33-0.064-0.588-0.584-0.064-0.064-0.192-0.064-0.066-0.066-0.128-0.068-0.066-0.334-0.068-0.066-0.066-0.066-0.068</f>
        <v>2.6480000000000006</v>
      </c>
    </row>
    <row r="101" spans="1:5" ht="28.5" x14ac:dyDescent="0.2">
      <c r="A101" s="68" t="s">
        <v>645</v>
      </c>
      <c r="B101" s="3" t="s">
        <v>4</v>
      </c>
      <c r="C101" s="3" t="s">
        <v>102</v>
      </c>
      <c r="D101" s="12" t="s">
        <v>74</v>
      </c>
      <c r="E101" s="50">
        <f>10.325-5-0.241</f>
        <v>5.0839999999999996</v>
      </c>
    </row>
    <row r="102" spans="1:5" ht="28.5" x14ac:dyDescent="0.2">
      <c r="A102" s="68" t="s">
        <v>645</v>
      </c>
      <c r="B102" s="3" t="s">
        <v>4</v>
      </c>
      <c r="C102" s="3" t="s">
        <v>102</v>
      </c>
      <c r="D102" s="12" t="s">
        <v>155</v>
      </c>
      <c r="E102" s="51">
        <f>4.845-0.198-0.194-0.584-0.193-0.198</f>
        <v>3.4779999999999993</v>
      </c>
    </row>
    <row r="103" spans="1:5" ht="28.5" x14ac:dyDescent="0.2">
      <c r="A103" s="68" t="s">
        <v>645</v>
      </c>
      <c r="B103" s="3" t="s">
        <v>4</v>
      </c>
      <c r="C103" s="3" t="s">
        <v>102</v>
      </c>
      <c r="D103" s="12" t="s">
        <v>154</v>
      </c>
      <c r="E103" s="51">
        <f>4.32-1.438-0.236-0.238-0.72</f>
        <v>1.6880000000000008</v>
      </c>
    </row>
    <row r="104" spans="1:5" ht="28.5" x14ac:dyDescent="0.2">
      <c r="A104" s="68" t="s">
        <v>645</v>
      </c>
      <c r="B104" s="3" t="s">
        <v>4</v>
      </c>
      <c r="C104" s="3" t="s">
        <v>102</v>
      </c>
      <c r="D104" s="12" t="s">
        <v>232</v>
      </c>
      <c r="E104" s="51">
        <f>0.836-0.414</f>
        <v>0.42199999999999999</v>
      </c>
    </row>
    <row r="105" spans="1:5" ht="28.5" x14ac:dyDescent="0.2">
      <c r="A105" s="68" t="s">
        <v>645</v>
      </c>
      <c r="B105" s="3" t="s">
        <v>4</v>
      </c>
      <c r="C105" s="3" t="s">
        <v>102</v>
      </c>
      <c r="D105" s="12" t="s">
        <v>53</v>
      </c>
      <c r="E105" s="50">
        <f>2.556-0.842</f>
        <v>1.714</v>
      </c>
    </row>
    <row r="106" spans="1:5" ht="28.5" x14ac:dyDescent="0.2">
      <c r="A106" s="68" t="s">
        <v>645</v>
      </c>
      <c r="B106" s="3" t="s">
        <v>4</v>
      </c>
      <c r="C106" s="3" t="s">
        <v>222</v>
      </c>
      <c r="D106" s="12" t="s">
        <v>429</v>
      </c>
      <c r="E106" s="51">
        <f>1.137-0.039-0.064-0.182-0.056-0.334-0.001-0.076-0.001-0.186</f>
        <v>0.19800000000000001</v>
      </c>
    </row>
    <row r="107" spans="1:5" ht="28.5" x14ac:dyDescent="0.2">
      <c r="A107" s="68" t="s">
        <v>645</v>
      </c>
      <c r="B107" s="3" t="s">
        <v>4</v>
      </c>
      <c r="C107" s="3" t="s">
        <v>102</v>
      </c>
      <c r="D107" s="12" t="s">
        <v>34</v>
      </c>
      <c r="E107" s="51">
        <f>3.411-1.12</f>
        <v>2.2909999999999999</v>
      </c>
    </row>
    <row r="108" spans="1:5" ht="28.5" x14ac:dyDescent="0.2">
      <c r="A108" s="68" t="s">
        <v>645</v>
      </c>
      <c r="B108" s="3" t="s">
        <v>4</v>
      </c>
      <c r="C108" s="3" t="s">
        <v>102</v>
      </c>
      <c r="D108" s="12" t="s">
        <v>573</v>
      </c>
      <c r="E108" s="51">
        <f>1.12-0.372-0.374-0.05-0.002</f>
        <v>0.32200000000000012</v>
      </c>
    </row>
    <row r="109" spans="1:5" ht="28.5" x14ac:dyDescent="0.2">
      <c r="A109" s="68" t="s">
        <v>645</v>
      </c>
      <c r="B109" s="64" t="s">
        <v>4</v>
      </c>
      <c r="C109" s="1" t="s">
        <v>102</v>
      </c>
      <c r="D109" s="11" t="s">
        <v>40</v>
      </c>
      <c r="E109" s="52">
        <f>2.856-1.39</f>
        <v>1.466</v>
      </c>
    </row>
    <row r="110" spans="1:5" ht="28.5" x14ac:dyDescent="0.2">
      <c r="A110" s="68" t="s">
        <v>645</v>
      </c>
      <c r="B110" s="1" t="s">
        <v>23</v>
      </c>
      <c r="C110" s="31" t="s">
        <v>301</v>
      </c>
      <c r="D110" s="32" t="s">
        <v>7</v>
      </c>
      <c r="E110" s="53">
        <f>6.05-0.316-0.092-0.032-0.126-0.498-0.032-0.094-0.096-0.032-0.19-0.065-0.094-0.282-0.252-0.194-0.033-0.064-0.095-0.032</f>
        <v>3.4309999999999983</v>
      </c>
    </row>
    <row r="111" spans="1:5" ht="28.5" x14ac:dyDescent="0.2">
      <c r="A111" s="68" t="s">
        <v>645</v>
      </c>
      <c r="B111" s="1" t="s">
        <v>23</v>
      </c>
      <c r="C111" s="31" t="s">
        <v>301</v>
      </c>
      <c r="D111" s="32" t="s">
        <v>8</v>
      </c>
      <c r="E111" s="54">
        <f>4.22-0.048-0.095-0.048-0.144-0.048-0.336-0.527-0.479-0.48-0.098-0.048-0.048-0.098-0.094-0.336-0.29-0.049-0.048</f>
        <v>0.90599999999999914</v>
      </c>
    </row>
    <row r="112" spans="1:5" ht="28.5" x14ac:dyDescent="0.2">
      <c r="A112" s="68" t="s">
        <v>645</v>
      </c>
      <c r="B112" s="1" t="s">
        <v>23</v>
      </c>
      <c r="C112" s="31" t="s">
        <v>385</v>
      </c>
      <c r="D112" s="32" t="s">
        <v>47</v>
      </c>
      <c r="E112" s="54">
        <f>4.035-0.278</f>
        <v>3.7570000000000001</v>
      </c>
    </row>
    <row r="113" spans="1:5" ht="28.5" x14ac:dyDescent="0.2">
      <c r="A113" s="68" t="s">
        <v>645</v>
      </c>
      <c r="B113" s="1" t="s">
        <v>23</v>
      </c>
      <c r="C113" s="31" t="s">
        <v>301</v>
      </c>
      <c r="D113" s="32" t="s">
        <v>9</v>
      </c>
      <c r="E113" s="54">
        <f>4.025-0.06-0.064-0.502-0.62-0.062-0.126-0.504-0.064-0.316-0.064</f>
        <v>1.643</v>
      </c>
    </row>
    <row r="114" spans="1:5" ht="28.5" x14ac:dyDescent="0.2">
      <c r="A114" s="68" t="s">
        <v>645</v>
      </c>
      <c r="B114" s="1" t="s">
        <v>23</v>
      </c>
      <c r="C114" s="31" t="s">
        <v>301</v>
      </c>
      <c r="D114" s="32" t="s">
        <v>105</v>
      </c>
      <c r="E114" s="54">
        <f>3.8-0.352-0.35-0.326-0.355-0.346-0.35-0.35-0.347-0.348-0.344</f>
        <v>0.33199999999999963</v>
      </c>
    </row>
    <row r="115" spans="1:5" ht="28.5" x14ac:dyDescent="0.2">
      <c r="A115" s="68" t="s">
        <v>645</v>
      </c>
      <c r="B115" s="1" t="s">
        <v>23</v>
      </c>
      <c r="C115" s="31" t="s">
        <v>301</v>
      </c>
      <c r="D115" s="32" t="s">
        <v>66</v>
      </c>
      <c r="E115" s="53">
        <f>4.1-0.348-0.343-1.704-0.342-0.342-0.345-0.348</f>
        <v>0.32799999999999974</v>
      </c>
    </row>
    <row r="116" spans="1:5" ht="28.5" x14ac:dyDescent="0.2">
      <c r="A116" s="68" t="s">
        <v>645</v>
      </c>
      <c r="B116" s="1" t="s">
        <v>23</v>
      </c>
      <c r="C116" s="31" t="s">
        <v>301</v>
      </c>
      <c r="D116" s="32" t="s">
        <v>464</v>
      </c>
      <c r="E116" s="53">
        <f>0.348-0.116-0.174-0.019+0.001</f>
        <v>3.9999999999999994E-2</v>
      </c>
    </row>
    <row r="117" spans="1:5" ht="28.5" x14ac:dyDescent="0.2">
      <c r="A117" s="68" t="s">
        <v>645</v>
      </c>
      <c r="B117" s="1" t="s">
        <v>23</v>
      </c>
      <c r="C117" s="31" t="s">
        <v>301</v>
      </c>
      <c r="D117" s="32" t="s">
        <v>55</v>
      </c>
      <c r="E117" s="54">
        <f>10.77-0.41-0.404-0.814-0.418-0.406-0.398-0.41-0.412-0.418-0.424-0.41-0.832-1.666-0.434-0.425-0.43-0.42</f>
        <v>1.6389999999999993</v>
      </c>
    </row>
    <row r="118" spans="1:5" ht="28.5" x14ac:dyDescent="0.2">
      <c r="A118" s="68" t="s">
        <v>645</v>
      </c>
      <c r="B118" s="1" t="s">
        <v>23</v>
      </c>
      <c r="C118" s="31" t="s">
        <v>301</v>
      </c>
      <c r="D118" s="32" t="s">
        <v>539</v>
      </c>
      <c r="E118" s="54">
        <f>0.406-0.204-0.032-0.038-0.034-0.001-0.038-0.001</f>
        <v>5.8000000000000031E-2</v>
      </c>
    </row>
    <row r="119" spans="1:5" ht="28.5" x14ac:dyDescent="0.2">
      <c r="A119" s="68" t="s">
        <v>645</v>
      </c>
      <c r="B119" s="1" t="s">
        <v>23</v>
      </c>
      <c r="C119" s="31" t="s">
        <v>301</v>
      </c>
      <c r="D119" s="32" t="s">
        <v>590</v>
      </c>
      <c r="E119" s="53">
        <f>0.42-0.255</f>
        <v>0.16499999999999998</v>
      </c>
    </row>
    <row r="120" spans="1:5" ht="28.5" x14ac:dyDescent="0.2">
      <c r="A120" s="68" t="s">
        <v>645</v>
      </c>
      <c r="B120" s="1" t="s">
        <v>23</v>
      </c>
      <c r="C120" s="31" t="s">
        <v>301</v>
      </c>
      <c r="D120" s="32" t="s">
        <v>58</v>
      </c>
      <c r="E120" s="54">
        <f>4.22</f>
        <v>4.22</v>
      </c>
    </row>
    <row r="121" spans="1:5" ht="28.5" x14ac:dyDescent="0.2">
      <c r="A121" s="68" t="s">
        <v>645</v>
      </c>
      <c r="B121" s="1" t="s">
        <v>23</v>
      </c>
      <c r="C121" s="31" t="s">
        <v>414</v>
      </c>
      <c r="D121" s="32" t="s">
        <v>192</v>
      </c>
      <c r="E121" s="54">
        <f>4.41-1.106-0.551-0.554-0.545-0.552</f>
        <v>1.1019999999999999</v>
      </c>
    </row>
    <row r="122" spans="1:5" ht="28.5" x14ac:dyDescent="0.2">
      <c r="A122" s="68" t="s">
        <v>645</v>
      </c>
      <c r="B122" s="1" t="s">
        <v>23</v>
      </c>
      <c r="C122" s="31" t="s">
        <v>414</v>
      </c>
      <c r="D122" s="32" t="s">
        <v>474</v>
      </c>
      <c r="E122" s="54">
        <f>0.552-0.238-0.094+0.002</f>
        <v>0.22200000000000006</v>
      </c>
    </row>
    <row r="123" spans="1:5" ht="28.5" x14ac:dyDescent="0.2">
      <c r="A123" s="68" t="s">
        <v>645</v>
      </c>
      <c r="B123" s="1" t="s">
        <v>23</v>
      </c>
      <c r="C123" s="31" t="s">
        <v>414</v>
      </c>
      <c r="D123" s="30" t="s">
        <v>12</v>
      </c>
      <c r="E123" s="53">
        <f>4.2-0.704-0.698-0.701-0.688-0.688</f>
        <v>0.72100000000000053</v>
      </c>
    </row>
    <row r="124" spans="1:5" ht="28.5" x14ac:dyDescent="0.2">
      <c r="A124" s="68" t="s">
        <v>645</v>
      </c>
      <c r="B124" s="1" t="s">
        <v>23</v>
      </c>
      <c r="C124" s="31" t="s">
        <v>414</v>
      </c>
      <c r="D124" s="30" t="s">
        <v>466</v>
      </c>
      <c r="E124" s="53">
        <f>0.688-0.058-0.294+0.002</f>
        <v>0.33799999999999991</v>
      </c>
    </row>
    <row r="125" spans="1:5" ht="28.5" x14ac:dyDescent="0.2">
      <c r="A125" s="68" t="s">
        <v>645</v>
      </c>
      <c r="B125" s="1" t="s">
        <v>23</v>
      </c>
      <c r="C125" s="31" t="s">
        <v>414</v>
      </c>
      <c r="D125" s="30" t="s">
        <v>462</v>
      </c>
      <c r="E125" s="53">
        <f>0.058</f>
        <v>5.8000000000000003E-2</v>
      </c>
    </row>
    <row r="126" spans="1:5" ht="28.5" x14ac:dyDescent="0.2">
      <c r="A126" s="68" t="s">
        <v>645</v>
      </c>
      <c r="B126" s="1" t="s">
        <v>23</v>
      </c>
      <c r="C126" s="31" t="s">
        <v>414</v>
      </c>
      <c r="D126" s="30" t="s">
        <v>379</v>
      </c>
      <c r="E126" s="54">
        <f>0.82-0.2-0.118+0.03-0.038-0.284-0.072-0.002-0.072</f>
        <v>6.399999999999996E-2</v>
      </c>
    </row>
    <row r="127" spans="1:5" ht="28.5" x14ac:dyDescent="0.2">
      <c r="A127" s="68" t="s">
        <v>645</v>
      </c>
      <c r="B127" s="1" t="s">
        <v>23</v>
      </c>
      <c r="C127" s="31" t="s">
        <v>414</v>
      </c>
      <c r="D127" s="30" t="s">
        <v>53</v>
      </c>
      <c r="E127" s="54">
        <f>6.75-1.698-1.69-0.85-0.85</f>
        <v>1.6619999999999995</v>
      </c>
    </row>
    <row r="128" spans="1:5" ht="28.5" x14ac:dyDescent="0.2">
      <c r="A128" s="68" t="s">
        <v>645</v>
      </c>
      <c r="B128" s="1" t="s">
        <v>23</v>
      </c>
      <c r="C128" s="31" t="s">
        <v>414</v>
      </c>
      <c r="D128" s="30" t="s">
        <v>562</v>
      </c>
      <c r="E128" s="54">
        <f>0.85-0.424-0.144+0.002</f>
        <v>0.28400000000000003</v>
      </c>
    </row>
    <row r="129" spans="1:5" ht="28.5" x14ac:dyDescent="0.2">
      <c r="A129" s="68" t="s">
        <v>645</v>
      </c>
      <c r="B129" s="1" t="s">
        <v>23</v>
      </c>
      <c r="C129" s="31" t="s">
        <v>414</v>
      </c>
      <c r="D129" s="30" t="s">
        <v>53</v>
      </c>
      <c r="E129" s="54">
        <f>4.13</f>
        <v>4.13</v>
      </c>
    </row>
    <row r="130" spans="1:5" ht="28.5" x14ac:dyDescent="0.2">
      <c r="A130" s="68" t="s">
        <v>645</v>
      </c>
      <c r="B130" s="1" t="s">
        <v>23</v>
      </c>
      <c r="C130" s="31" t="s">
        <v>301</v>
      </c>
      <c r="D130" s="30" t="s">
        <v>76</v>
      </c>
      <c r="E130" s="53">
        <f>3.87-0.978-0.966</f>
        <v>1.9260000000000004</v>
      </c>
    </row>
    <row r="131" spans="1:5" ht="28.5" x14ac:dyDescent="0.2">
      <c r="A131" s="68" t="s">
        <v>645</v>
      </c>
      <c r="B131" s="1" t="s">
        <v>23</v>
      </c>
      <c r="C131" s="31" t="s">
        <v>301</v>
      </c>
      <c r="D131" s="30" t="s">
        <v>536</v>
      </c>
      <c r="E131" s="53">
        <f>0.978-0.14-0.154-0.004</f>
        <v>0.67999999999999994</v>
      </c>
    </row>
    <row r="132" spans="1:5" ht="28.5" x14ac:dyDescent="0.2">
      <c r="A132" s="68" t="s">
        <v>645</v>
      </c>
      <c r="B132" s="1" t="s">
        <v>23</v>
      </c>
      <c r="C132" s="31" t="s">
        <v>301</v>
      </c>
      <c r="D132" s="32" t="s">
        <v>300</v>
      </c>
      <c r="E132" s="53">
        <f>7.54-0.848-1.106</f>
        <v>5.5860000000000003</v>
      </c>
    </row>
    <row r="133" spans="1:5" ht="28.5" x14ac:dyDescent="0.2">
      <c r="A133" s="68" t="s">
        <v>645</v>
      </c>
      <c r="B133" s="1" t="s">
        <v>23</v>
      </c>
      <c r="C133" s="31" t="s">
        <v>301</v>
      </c>
      <c r="D133" s="32" t="s">
        <v>506</v>
      </c>
      <c r="E133" s="53">
        <f>0.848-0.37-0.094-0.22-0.06</f>
        <v>0.10400000000000001</v>
      </c>
    </row>
    <row r="134" spans="1:5" ht="28.5" x14ac:dyDescent="0.2">
      <c r="A134" s="68" t="s">
        <v>645</v>
      </c>
      <c r="B134" s="1" t="s">
        <v>23</v>
      </c>
      <c r="C134" s="31" t="s">
        <v>301</v>
      </c>
      <c r="D134" s="32" t="s">
        <v>434</v>
      </c>
      <c r="E134" s="53">
        <f>1.106-1.012</f>
        <v>9.4000000000000083E-2</v>
      </c>
    </row>
    <row r="135" spans="1:5" ht="28.5" x14ac:dyDescent="0.2">
      <c r="A135" s="68" t="s">
        <v>645</v>
      </c>
      <c r="B135" s="1" t="s">
        <v>23</v>
      </c>
      <c r="C135" s="31" t="s">
        <v>301</v>
      </c>
      <c r="D135" s="32" t="s">
        <v>34</v>
      </c>
      <c r="E135" s="53">
        <f>2.21</f>
        <v>2.21</v>
      </c>
    </row>
    <row r="136" spans="1:5" ht="28.5" x14ac:dyDescent="0.2">
      <c r="A136" s="68" t="s">
        <v>645</v>
      </c>
      <c r="B136" s="3" t="s">
        <v>6</v>
      </c>
      <c r="C136" s="3" t="s">
        <v>404</v>
      </c>
      <c r="D136" s="15" t="s">
        <v>173</v>
      </c>
      <c r="E136" s="51">
        <f>0.196</f>
        <v>0.19600000000000001</v>
      </c>
    </row>
    <row r="137" spans="1:5" ht="28.5" x14ac:dyDescent="0.2">
      <c r="A137" s="68" t="s">
        <v>645</v>
      </c>
      <c r="B137" s="3" t="s">
        <v>6</v>
      </c>
      <c r="C137" s="3" t="s">
        <v>404</v>
      </c>
      <c r="D137" s="15" t="s">
        <v>230</v>
      </c>
      <c r="E137" s="51">
        <f>0.396-0.255</f>
        <v>0.14100000000000001</v>
      </c>
    </row>
    <row r="138" spans="1:5" ht="28.5" x14ac:dyDescent="0.2">
      <c r="A138" s="68" t="s">
        <v>645</v>
      </c>
      <c r="B138" s="3" t="s">
        <v>6</v>
      </c>
      <c r="C138" s="3" t="s">
        <v>404</v>
      </c>
      <c r="D138" s="15" t="s">
        <v>7</v>
      </c>
      <c r="E138" s="51">
        <f>3.008-0.584-0.032</f>
        <v>2.3919999999999999</v>
      </c>
    </row>
    <row r="139" spans="1:5" ht="28.5" x14ac:dyDescent="0.2">
      <c r="A139" s="68" t="s">
        <v>645</v>
      </c>
      <c r="B139" s="3" t="s">
        <v>6</v>
      </c>
      <c r="C139" s="3" t="s">
        <v>404</v>
      </c>
      <c r="D139" s="20" t="s">
        <v>5</v>
      </c>
      <c r="E139" s="51">
        <f>4.09-0.042-0.242-0.04-1.516-0.04-0.04-0.474-0.318-0.2-0.986-0.08</f>
        <v>0.11199999999999995</v>
      </c>
    </row>
    <row r="140" spans="1:5" ht="28.5" x14ac:dyDescent="0.2">
      <c r="A140" s="68" t="s">
        <v>645</v>
      </c>
      <c r="B140" s="3" t="s">
        <v>6</v>
      </c>
      <c r="C140" s="3" t="s">
        <v>404</v>
      </c>
      <c r="D140" s="20" t="s">
        <v>5</v>
      </c>
      <c r="E140" s="51">
        <f>3.54-0.314-0.395-0.158-0.158-0.04-0.039</f>
        <v>2.4359999999999999</v>
      </c>
    </row>
    <row r="141" spans="1:5" ht="28.5" x14ac:dyDescent="0.2">
      <c r="A141" s="68" t="s">
        <v>645</v>
      </c>
      <c r="B141" s="3" t="s">
        <v>6</v>
      </c>
      <c r="C141" s="3" t="s">
        <v>404</v>
      </c>
      <c r="D141" s="20" t="s">
        <v>93</v>
      </c>
      <c r="E141" s="50">
        <f>6.472-0.094-0.188-0.284-0.51-0.092-0.138-0.048-0.136-0.14-0.046-0.468-0.139-0.466-0.186-0.092-0.048-0.048-0.48-0.24</f>
        <v>2.6290000000000004</v>
      </c>
    </row>
    <row r="142" spans="1:5" ht="28.5" x14ac:dyDescent="0.2">
      <c r="A142" s="68" t="s">
        <v>645</v>
      </c>
      <c r="B142" s="3" t="s">
        <v>6</v>
      </c>
      <c r="C142" s="3" t="s">
        <v>404</v>
      </c>
      <c r="D142" s="20" t="s">
        <v>93</v>
      </c>
      <c r="E142" s="50">
        <f>2.97</f>
        <v>2.97</v>
      </c>
    </row>
    <row r="143" spans="1:5" ht="28.5" x14ac:dyDescent="0.2">
      <c r="A143" s="68" t="s">
        <v>645</v>
      </c>
      <c r="B143" s="3" t="s">
        <v>6</v>
      </c>
      <c r="C143" s="3" t="s">
        <v>485</v>
      </c>
      <c r="D143" s="20" t="s">
        <v>47</v>
      </c>
      <c r="E143" s="50">
        <f>6.89-0.88-0.108-0.108-0.054-0.107</f>
        <v>5.633</v>
      </c>
    </row>
    <row r="144" spans="1:5" ht="28.5" x14ac:dyDescent="0.2">
      <c r="A144" s="68" t="s">
        <v>645</v>
      </c>
      <c r="B144" s="3" t="s">
        <v>6</v>
      </c>
      <c r="C144" s="3" t="s">
        <v>423</v>
      </c>
      <c r="D144" s="20" t="s">
        <v>174</v>
      </c>
      <c r="E144" s="51">
        <f>0.156+0.158</f>
        <v>0.314</v>
      </c>
    </row>
    <row r="145" spans="1:5" ht="28.5" x14ac:dyDescent="0.2">
      <c r="A145" s="68" t="s">
        <v>645</v>
      </c>
      <c r="B145" s="3" t="s">
        <v>6</v>
      </c>
      <c r="C145" s="3" t="s">
        <v>423</v>
      </c>
      <c r="D145" s="20" t="s">
        <v>9</v>
      </c>
      <c r="E145" s="51">
        <f>7.548-0.063-0.063-0.063-0.623-0.064-0.128-0.191-0.312-0.813-0.629-0.89</f>
        <v>3.7090000000000001</v>
      </c>
    </row>
    <row r="146" spans="1:5" ht="28.5" x14ac:dyDescent="0.2">
      <c r="A146" s="68" t="s">
        <v>645</v>
      </c>
      <c r="B146" s="3" t="s">
        <v>6</v>
      </c>
      <c r="C146" s="3" t="s">
        <v>423</v>
      </c>
      <c r="D146" s="20" t="s">
        <v>389</v>
      </c>
      <c r="E146" s="51">
        <f>1.978</f>
        <v>1.978</v>
      </c>
    </row>
    <row r="147" spans="1:5" ht="28.5" x14ac:dyDescent="0.2">
      <c r="A147" s="68" t="s">
        <v>645</v>
      </c>
      <c r="B147" s="3" t="s">
        <v>6</v>
      </c>
      <c r="C147" s="3" t="s">
        <v>423</v>
      </c>
      <c r="D147" s="15" t="s">
        <v>105</v>
      </c>
      <c r="E147" s="55">
        <f>8.42-0.356-0.364-0.36-1.424-0.722-0.358-0.346-0.35-0.338-0.686-1.407</f>
        <v>1.7090000000000014</v>
      </c>
    </row>
    <row r="148" spans="1:5" ht="28.5" x14ac:dyDescent="0.2">
      <c r="A148" s="68" t="s">
        <v>645</v>
      </c>
      <c r="B148" s="3" t="s">
        <v>6</v>
      </c>
      <c r="C148" s="3" t="s">
        <v>423</v>
      </c>
      <c r="D148" s="15" t="s">
        <v>437</v>
      </c>
      <c r="E148" s="55">
        <f>0.686-0.514</f>
        <v>0.17200000000000004</v>
      </c>
    </row>
    <row r="149" spans="1:5" ht="28.5" x14ac:dyDescent="0.2">
      <c r="A149" s="68" t="s">
        <v>645</v>
      </c>
      <c r="B149" s="3" t="s">
        <v>6</v>
      </c>
      <c r="C149" s="3" t="s">
        <v>423</v>
      </c>
      <c r="D149" s="15" t="s">
        <v>66</v>
      </c>
      <c r="E149" s="55">
        <f>1.73</f>
        <v>1.73</v>
      </c>
    </row>
    <row r="150" spans="1:5" ht="28.5" x14ac:dyDescent="0.2">
      <c r="A150" s="68" t="s">
        <v>645</v>
      </c>
      <c r="B150" s="3" t="s">
        <v>6</v>
      </c>
      <c r="C150" s="3" t="s">
        <v>423</v>
      </c>
      <c r="D150" s="15" t="s">
        <v>472</v>
      </c>
      <c r="E150" s="55">
        <f>0.34</f>
        <v>0.34</v>
      </c>
    </row>
    <row r="151" spans="1:5" ht="28.5" x14ac:dyDescent="0.2">
      <c r="A151" s="68" t="s">
        <v>645</v>
      </c>
      <c r="B151" s="2" t="s">
        <v>6</v>
      </c>
      <c r="C151" s="3" t="s">
        <v>423</v>
      </c>
      <c r="D151" s="15" t="s">
        <v>403</v>
      </c>
      <c r="E151" s="56">
        <f>0.48</f>
        <v>0.48</v>
      </c>
    </row>
    <row r="152" spans="1:5" ht="28.5" x14ac:dyDescent="0.2">
      <c r="A152" s="68" t="s">
        <v>645</v>
      </c>
      <c r="B152" s="2" t="s">
        <v>6</v>
      </c>
      <c r="C152" s="3" t="s">
        <v>423</v>
      </c>
      <c r="D152" s="15" t="s">
        <v>58</v>
      </c>
      <c r="E152" s="56">
        <f>3.4</f>
        <v>3.4</v>
      </c>
    </row>
    <row r="153" spans="1:5" ht="28.5" x14ac:dyDescent="0.2">
      <c r="A153" s="68" t="s">
        <v>645</v>
      </c>
      <c r="B153" s="2" t="s">
        <v>6</v>
      </c>
      <c r="C153" s="3" t="s">
        <v>423</v>
      </c>
      <c r="D153" s="15" t="s">
        <v>489</v>
      </c>
      <c r="E153" s="55">
        <f>3.43-0.565-1.71-0.574-0.238-0.011-0.025-0.001-0.134-0.096</f>
        <v>7.6000000000000262E-2</v>
      </c>
    </row>
    <row r="154" spans="1:5" ht="28.5" x14ac:dyDescent="0.2">
      <c r="A154" s="68" t="s">
        <v>645</v>
      </c>
      <c r="B154" s="2" t="s">
        <v>6</v>
      </c>
      <c r="C154" s="20" t="s">
        <v>405</v>
      </c>
      <c r="D154" s="15" t="s">
        <v>550</v>
      </c>
      <c r="E154" s="55">
        <f>0.55-0.116-0.026+0.024</f>
        <v>0.43200000000000005</v>
      </c>
    </row>
    <row r="155" spans="1:5" ht="28.5" x14ac:dyDescent="0.2">
      <c r="A155" s="68" t="s">
        <v>645</v>
      </c>
      <c r="B155" s="2" t="s">
        <v>6</v>
      </c>
      <c r="C155" s="3" t="s">
        <v>423</v>
      </c>
      <c r="D155" s="15" t="s">
        <v>591</v>
      </c>
      <c r="E155" s="55">
        <f>3.93-1.132-0.556-1.132-0.19</f>
        <v>0.92000000000000015</v>
      </c>
    </row>
    <row r="156" spans="1:5" ht="28.5" x14ac:dyDescent="0.2">
      <c r="A156" s="68" t="s">
        <v>645</v>
      </c>
      <c r="B156" s="2" t="s">
        <v>6</v>
      </c>
      <c r="C156" s="20" t="s">
        <v>406</v>
      </c>
      <c r="D156" s="15" t="s">
        <v>27</v>
      </c>
      <c r="E156" s="55">
        <f>10.2-1.126-0.574-0.563-0.574-0.574-0.576-0.574-2</f>
        <v>3.6390000000000011</v>
      </c>
    </row>
    <row r="157" spans="1:5" ht="28.5" x14ac:dyDescent="0.2">
      <c r="A157" s="68" t="s">
        <v>645</v>
      </c>
      <c r="B157" s="2" t="s">
        <v>6</v>
      </c>
      <c r="C157" s="20" t="s">
        <v>407</v>
      </c>
      <c r="D157" s="15" t="s">
        <v>155</v>
      </c>
      <c r="E157" s="55">
        <f>0.965-0.39-0.198</f>
        <v>0.37699999999999995</v>
      </c>
    </row>
    <row r="158" spans="1:5" ht="28.5" x14ac:dyDescent="0.2">
      <c r="A158" s="68" t="s">
        <v>645</v>
      </c>
      <c r="B158" s="2" t="s">
        <v>6</v>
      </c>
      <c r="C158" s="20" t="s">
        <v>402</v>
      </c>
      <c r="D158" s="13" t="s">
        <v>582</v>
      </c>
      <c r="E158" s="57">
        <f>0.69-0.346-0.03-0.008-0.03</f>
        <v>0.27599999999999991</v>
      </c>
    </row>
    <row r="159" spans="1:5" ht="28.5" x14ac:dyDescent="0.2">
      <c r="A159" s="68" t="s">
        <v>645</v>
      </c>
      <c r="B159" s="2" t="s">
        <v>6</v>
      </c>
      <c r="C159" s="20" t="s">
        <v>243</v>
      </c>
      <c r="D159" s="6" t="s">
        <v>386</v>
      </c>
      <c r="E159" s="52">
        <f>2.556-1.695-0.426-0.017</f>
        <v>0.41799999999999998</v>
      </c>
    </row>
    <row r="160" spans="1:5" ht="28.5" x14ac:dyDescent="0.2">
      <c r="A160" s="68" t="s">
        <v>645</v>
      </c>
      <c r="B160" s="2" t="s">
        <v>6</v>
      </c>
      <c r="C160" s="20" t="s">
        <v>243</v>
      </c>
      <c r="D160" s="6" t="s">
        <v>53</v>
      </c>
      <c r="E160" s="52">
        <f>1.704-0.864</f>
        <v>0.84</v>
      </c>
    </row>
    <row r="161" spans="1:5" ht="28.5" x14ac:dyDescent="0.2">
      <c r="A161" s="68" t="s">
        <v>645</v>
      </c>
      <c r="B161" s="2" t="s">
        <v>6</v>
      </c>
      <c r="C161" s="3" t="s">
        <v>423</v>
      </c>
      <c r="D161" s="6" t="s">
        <v>296</v>
      </c>
      <c r="E161" s="52">
        <f>2.664-1.776</f>
        <v>0.88800000000000012</v>
      </c>
    </row>
    <row r="162" spans="1:5" ht="28.5" x14ac:dyDescent="0.2">
      <c r="A162" s="68" t="s">
        <v>645</v>
      </c>
      <c r="B162" s="2" t="s">
        <v>6</v>
      </c>
      <c r="C162" s="20" t="s">
        <v>243</v>
      </c>
      <c r="D162" s="6" t="s">
        <v>387</v>
      </c>
      <c r="E162" s="47">
        <f>0.91-0.082-0.026-0.196-0.082-0.044-0.002</f>
        <v>0.47800000000000015</v>
      </c>
    </row>
    <row r="163" spans="1:5" ht="28.5" x14ac:dyDescent="0.2">
      <c r="A163" s="68" t="s">
        <v>645</v>
      </c>
      <c r="B163" s="2" t="s">
        <v>6</v>
      </c>
      <c r="C163" s="20" t="s">
        <v>243</v>
      </c>
      <c r="D163" s="6" t="s">
        <v>76</v>
      </c>
      <c r="E163" s="47">
        <f>2.982-0.968-1.008</f>
        <v>1.0060000000000002</v>
      </c>
    </row>
    <row r="164" spans="1:5" ht="28.5" x14ac:dyDescent="0.2">
      <c r="A164" s="68" t="s">
        <v>645</v>
      </c>
      <c r="B164" s="2" t="s">
        <v>6</v>
      </c>
      <c r="C164" s="20" t="s">
        <v>408</v>
      </c>
      <c r="D164" s="6" t="s">
        <v>282</v>
      </c>
      <c r="E164" s="47">
        <f>3.195-2.145-0.046-0.162+0.018-0.11-0.002-0.38+0.004-0.091-0.102-0.001</f>
        <v>0.17799999999999983</v>
      </c>
    </row>
    <row r="165" spans="1:5" ht="28.5" x14ac:dyDescent="0.2">
      <c r="A165" s="68" t="s">
        <v>645</v>
      </c>
      <c r="B165" s="2" t="s">
        <v>6</v>
      </c>
      <c r="C165" s="20" t="s">
        <v>243</v>
      </c>
      <c r="D165" s="6" t="s">
        <v>175</v>
      </c>
      <c r="E165" s="47">
        <f>0.99</f>
        <v>0.99</v>
      </c>
    </row>
    <row r="166" spans="1:5" ht="28.5" x14ac:dyDescent="0.2">
      <c r="A166" s="68" t="s">
        <v>645</v>
      </c>
      <c r="B166" s="2" t="s">
        <v>6</v>
      </c>
      <c r="C166" s="20" t="s">
        <v>243</v>
      </c>
      <c r="D166" s="6" t="s">
        <v>375</v>
      </c>
      <c r="E166" s="47">
        <f>1.056-0.216-0.372</f>
        <v>0.46800000000000008</v>
      </c>
    </row>
    <row r="167" spans="1:5" ht="28.5" x14ac:dyDescent="0.2">
      <c r="A167" s="68" t="s">
        <v>645</v>
      </c>
      <c r="B167" s="2" t="s">
        <v>6</v>
      </c>
      <c r="C167" s="20" t="s">
        <v>243</v>
      </c>
      <c r="D167" s="6" t="s">
        <v>541</v>
      </c>
      <c r="E167" s="52">
        <f>2.57-1.266-0.102-0.03</f>
        <v>1.1719999999999997</v>
      </c>
    </row>
    <row r="168" spans="1:5" ht="28.5" x14ac:dyDescent="0.2">
      <c r="A168" s="68" t="s">
        <v>645</v>
      </c>
      <c r="B168" s="2" t="s">
        <v>6</v>
      </c>
      <c r="C168" s="20" t="s">
        <v>243</v>
      </c>
      <c r="D168" s="6" t="s">
        <v>390</v>
      </c>
      <c r="E168" s="52">
        <f>1.266-0.528-0.126</f>
        <v>0.61199999999999999</v>
      </c>
    </row>
    <row r="169" spans="1:5" ht="28.5" x14ac:dyDescent="0.2">
      <c r="A169" s="68" t="s">
        <v>645</v>
      </c>
      <c r="B169" s="2" t="s">
        <v>6</v>
      </c>
      <c r="C169" s="20" t="s">
        <v>411</v>
      </c>
      <c r="D169" s="6" t="s">
        <v>578</v>
      </c>
      <c r="E169" s="47">
        <f>2.856-1.428-0.154-0.016-0.191+0.003-0.592-0.002-0.072-0.002-0.108-0.216</f>
        <v>7.7999999999999875E-2</v>
      </c>
    </row>
    <row r="170" spans="1:5" ht="28.5" x14ac:dyDescent="0.2">
      <c r="A170" s="68" t="s">
        <v>645</v>
      </c>
      <c r="B170" s="2" t="s">
        <v>6</v>
      </c>
      <c r="C170" s="20" t="s">
        <v>243</v>
      </c>
      <c r="D170" s="6" t="s">
        <v>447</v>
      </c>
      <c r="E170" s="47">
        <f>1.428-0.466-0.018-0.236-0.004-0.286-0.004-0.17-0.002</f>
        <v>0.24199999999999997</v>
      </c>
    </row>
    <row r="171" spans="1:5" ht="28.5" x14ac:dyDescent="0.2">
      <c r="A171" s="68" t="s">
        <v>645</v>
      </c>
      <c r="B171" s="2" t="s">
        <v>6</v>
      </c>
      <c r="C171" s="20" t="s">
        <v>243</v>
      </c>
      <c r="D171" s="6" t="s">
        <v>40</v>
      </c>
      <c r="E171" s="52">
        <f>2.856</f>
        <v>2.8559999999999999</v>
      </c>
    </row>
    <row r="172" spans="1:5" ht="28.5" x14ac:dyDescent="0.2">
      <c r="A172" s="68" t="s">
        <v>645</v>
      </c>
      <c r="B172" s="2" t="s">
        <v>6</v>
      </c>
      <c r="C172" s="20" t="s">
        <v>243</v>
      </c>
      <c r="D172" s="6" t="s">
        <v>519</v>
      </c>
      <c r="E172" s="47">
        <f>1.534-1.042-0.084</f>
        <v>0.40799999999999997</v>
      </c>
    </row>
    <row r="173" spans="1:5" ht="28.5" x14ac:dyDescent="0.2">
      <c r="A173" s="68" t="s">
        <v>645</v>
      </c>
      <c r="B173" s="2" t="s">
        <v>6</v>
      </c>
      <c r="C173" s="20" t="s">
        <v>243</v>
      </c>
      <c r="D173" s="6" t="s">
        <v>535</v>
      </c>
      <c r="E173" s="52">
        <f>3.57-1.762-0.12-0.044-0.12-0.042-0.476-0.002-0.15-0.002-0.094-0.296-0.004</f>
        <v>0.45799999999999957</v>
      </c>
    </row>
    <row r="174" spans="1:5" ht="28.5" x14ac:dyDescent="0.2">
      <c r="A174" s="68" t="s">
        <v>645</v>
      </c>
      <c r="B174" s="2" t="s">
        <v>6</v>
      </c>
      <c r="C174" s="20" t="s">
        <v>410</v>
      </c>
      <c r="D174" s="16" t="s">
        <v>448</v>
      </c>
      <c r="E174" s="47">
        <f>2.142-1.052-0.038-0.404-0.18-0.002-0.036-0.002-0.258-0.002</f>
        <v>0.16799999999999982</v>
      </c>
    </row>
    <row r="175" spans="1:5" ht="28.5" x14ac:dyDescent="0.2">
      <c r="A175" s="68" t="s">
        <v>645</v>
      </c>
      <c r="B175" s="2" t="s">
        <v>6</v>
      </c>
      <c r="C175" s="20" t="s">
        <v>243</v>
      </c>
      <c r="D175" s="6" t="s">
        <v>540</v>
      </c>
      <c r="E175" s="47">
        <f>4.284-2.142-1.042-0.062-0.526+0.002-0.036</f>
        <v>0.47799999999999981</v>
      </c>
    </row>
    <row r="176" spans="1:5" ht="28.5" x14ac:dyDescent="0.2">
      <c r="A176" s="68" t="s">
        <v>645</v>
      </c>
      <c r="B176" s="2" t="s">
        <v>6</v>
      </c>
      <c r="C176" s="20" t="s">
        <v>243</v>
      </c>
      <c r="D176" s="6" t="s">
        <v>449</v>
      </c>
      <c r="E176" s="47">
        <f>2.57-0.428-0.022-0.43+0.002-0.172-0.114-0.216-0.002-0.45-0.002-0.044-0.002-0.052-0.054-0.076-0.004-0.312-0.002</f>
        <v>0.19000000000000011</v>
      </c>
    </row>
    <row r="177" spans="1:5" ht="28.5" x14ac:dyDescent="0.2">
      <c r="A177" s="68" t="s">
        <v>645</v>
      </c>
      <c r="B177" s="2" t="s">
        <v>6</v>
      </c>
      <c r="C177" s="20" t="s">
        <v>243</v>
      </c>
      <c r="D177" s="6" t="s">
        <v>527</v>
      </c>
      <c r="E177" s="52">
        <f>2.57-0.052-0.048</f>
        <v>2.4699999999999998</v>
      </c>
    </row>
    <row r="178" spans="1:5" ht="28.5" x14ac:dyDescent="0.2">
      <c r="A178" s="68" t="s">
        <v>645</v>
      </c>
      <c r="B178" s="2" t="s">
        <v>6</v>
      </c>
      <c r="C178" s="20" t="s">
        <v>243</v>
      </c>
      <c r="D178" s="6" t="s">
        <v>542</v>
      </c>
      <c r="E178" s="47">
        <f>2.855-0.492+0.007-0.396-0.004-0.958+0.002-0.386-0.004-0.068-0.01-0.216-0.164-0.012</f>
        <v>0.15400000000000028</v>
      </c>
    </row>
    <row r="179" spans="1:5" ht="28.5" x14ac:dyDescent="0.2">
      <c r="A179" s="68" t="s">
        <v>645</v>
      </c>
      <c r="B179" s="2" t="s">
        <v>6</v>
      </c>
      <c r="C179" s="20" t="s">
        <v>409</v>
      </c>
      <c r="D179" s="6" t="s">
        <v>450</v>
      </c>
      <c r="E179" s="47">
        <f>2.855-0.202-0.047-0.2-0.004-0.292-0.002-1.442-0.002-0.342-0.002</f>
        <v>0.32000000000000012</v>
      </c>
    </row>
    <row r="180" spans="1:5" ht="28.5" x14ac:dyDescent="0.2">
      <c r="A180" s="68" t="s">
        <v>645</v>
      </c>
      <c r="B180" s="2" t="s">
        <v>6</v>
      </c>
      <c r="C180" s="20" t="s">
        <v>243</v>
      </c>
      <c r="D180" s="6" t="s">
        <v>579</v>
      </c>
      <c r="E180" s="47">
        <f>2.855-0.648-0.151</f>
        <v>2.056</v>
      </c>
    </row>
    <row r="181" spans="1:5" ht="28.5" x14ac:dyDescent="0.2">
      <c r="A181" s="68" t="s">
        <v>645</v>
      </c>
      <c r="B181" s="2" t="s">
        <v>6</v>
      </c>
      <c r="C181" s="20" t="s">
        <v>243</v>
      </c>
      <c r="D181" s="6" t="s">
        <v>520</v>
      </c>
      <c r="E181" s="47">
        <f>7.16-3.708-2.112-0.268-0.058-0.588-0.002</f>
        <v>0.42399999999999982</v>
      </c>
    </row>
    <row r="182" spans="1:5" ht="28.5" x14ac:dyDescent="0.2">
      <c r="A182" s="68" t="s">
        <v>645</v>
      </c>
      <c r="B182" s="2" t="s">
        <v>6</v>
      </c>
      <c r="C182" s="20" t="s">
        <v>243</v>
      </c>
      <c r="D182" s="6" t="s">
        <v>418</v>
      </c>
      <c r="E182" s="47">
        <f>3.708-0.33-0.648-1.734-0.012-0.476-0.116-0.01-0.194-0.002</f>
        <v>0.186</v>
      </c>
    </row>
    <row r="183" spans="1:5" ht="28.5" x14ac:dyDescent="0.2">
      <c r="A183" s="68" t="s">
        <v>645</v>
      </c>
      <c r="B183" s="2" t="s">
        <v>6</v>
      </c>
      <c r="C183" s="20" t="s">
        <v>243</v>
      </c>
      <c r="D183" s="6" t="s">
        <v>592</v>
      </c>
      <c r="E183" s="52">
        <f>4.42-2-0.564</f>
        <v>1.8559999999999999</v>
      </c>
    </row>
    <row r="184" spans="1:5" ht="28.5" x14ac:dyDescent="0.2">
      <c r="A184" s="68" t="s">
        <v>645</v>
      </c>
      <c r="B184" s="2" t="s">
        <v>6</v>
      </c>
      <c r="C184" s="6" t="s">
        <v>412</v>
      </c>
      <c r="D184" s="6" t="s">
        <v>350</v>
      </c>
      <c r="E184" s="52">
        <f>3.07-0.246+0.04-1.07-0.004-0.498</f>
        <v>1.2919999999999998</v>
      </c>
    </row>
    <row r="185" spans="1:5" ht="28.5" x14ac:dyDescent="0.2">
      <c r="A185" s="68" t="s">
        <v>645</v>
      </c>
      <c r="B185" s="2" t="s">
        <v>6</v>
      </c>
      <c r="C185" s="6" t="s">
        <v>412</v>
      </c>
      <c r="D185" s="6" t="s">
        <v>531</v>
      </c>
      <c r="E185" s="52">
        <f>4.65</f>
        <v>4.6500000000000004</v>
      </c>
    </row>
    <row r="186" spans="1:5" ht="28.5" x14ac:dyDescent="0.2">
      <c r="A186" s="68" t="s">
        <v>645</v>
      </c>
      <c r="B186" s="2" t="s">
        <v>6</v>
      </c>
      <c r="C186" s="6" t="s">
        <v>413</v>
      </c>
      <c r="D186" s="6" t="s">
        <v>278</v>
      </c>
      <c r="E186" s="47">
        <f>4.555+0.155-0.68-2.216-0.004-0.422-0.004-1.012-0.004</f>
        <v>0.3680000000000001</v>
      </c>
    </row>
    <row r="187" spans="1:5" ht="28.5" x14ac:dyDescent="0.2">
      <c r="A187" s="68" t="s">
        <v>645</v>
      </c>
      <c r="B187" s="2" t="s">
        <v>6</v>
      </c>
      <c r="C187" s="6" t="s">
        <v>297</v>
      </c>
      <c r="D187" s="6" t="s">
        <v>534</v>
      </c>
      <c r="E187" s="47">
        <f>4.82-0.986-0.5-0.002-2.452-0.006</f>
        <v>0.87400000000000078</v>
      </c>
    </row>
    <row r="188" spans="1:5" ht="28.5" x14ac:dyDescent="0.2">
      <c r="A188" s="68" t="s">
        <v>645</v>
      </c>
      <c r="B188" s="2" t="s">
        <v>6</v>
      </c>
      <c r="C188" s="6" t="s">
        <v>412</v>
      </c>
      <c r="D188" s="6" t="s">
        <v>471</v>
      </c>
      <c r="E188" s="47">
        <f>4.63-2.98+0.032-1.044-0.002</f>
        <v>0.6359999999999999</v>
      </c>
    </row>
    <row r="189" spans="1:5" ht="28.5" x14ac:dyDescent="0.2">
      <c r="A189" s="68" t="s">
        <v>645</v>
      </c>
      <c r="B189" s="2" t="s">
        <v>6</v>
      </c>
      <c r="C189" s="6" t="s">
        <v>357</v>
      </c>
      <c r="D189" s="6" t="s">
        <v>593</v>
      </c>
      <c r="E189" s="47">
        <f>4.61-0.714+0.156-2.22</f>
        <v>1.8320000000000003</v>
      </c>
    </row>
    <row r="190" spans="1:5" ht="28.5" x14ac:dyDescent="0.2">
      <c r="A190" s="68" t="s">
        <v>645</v>
      </c>
      <c r="B190" s="25" t="s">
        <v>543</v>
      </c>
      <c r="C190" s="16" t="s">
        <v>210</v>
      </c>
      <c r="D190" s="25" t="s">
        <v>430</v>
      </c>
      <c r="E190" s="44">
        <f>4.52-2.97-0.044</f>
        <v>1.5059999999999993</v>
      </c>
    </row>
    <row r="191" spans="1:5" ht="28.5" x14ac:dyDescent="0.2">
      <c r="A191" s="68" t="s">
        <v>645</v>
      </c>
      <c r="B191" s="25" t="s">
        <v>248</v>
      </c>
      <c r="C191" s="16" t="s">
        <v>210</v>
      </c>
      <c r="D191" s="25" t="s">
        <v>206</v>
      </c>
      <c r="E191" s="44">
        <f>24.13-12.085-6.025</f>
        <v>6.0199999999999978</v>
      </c>
    </row>
    <row r="192" spans="1:5" ht="28.5" x14ac:dyDescent="0.2">
      <c r="A192" s="68" t="s">
        <v>645</v>
      </c>
      <c r="B192" s="25" t="s">
        <v>248</v>
      </c>
      <c r="C192" s="16" t="s">
        <v>210</v>
      </c>
      <c r="D192" s="25" t="s">
        <v>247</v>
      </c>
      <c r="E192" s="44">
        <f>6.025-1.014</f>
        <v>5.0110000000000001</v>
      </c>
    </row>
    <row r="193" spans="1:5" ht="28.5" x14ac:dyDescent="0.2">
      <c r="A193" s="68" t="s">
        <v>645</v>
      </c>
      <c r="B193" s="25" t="s">
        <v>248</v>
      </c>
      <c r="C193" s="16" t="s">
        <v>210</v>
      </c>
      <c r="D193" s="25" t="s">
        <v>246</v>
      </c>
      <c r="E193" s="44">
        <v>1.014</v>
      </c>
    </row>
    <row r="194" spans="1:5" ht="28.5" x14ac:dyDescent="0.2">
      <c r="A194" s="68" t="s">
        <v>645</v>
      </c>
      <c r="B194" s="16" t="s">
        <v>28</v>
      </c>
      <c r="C194" s="16" t="s">
        <v>102</v>
      </c>
      <c r="D194" s="6" t="s">
        <v>426</v>
      </c>
      <c r="E194" s="52">
        <f>5.688-3.702-0.934</f>
        <v>1.0519999999999996</v>
      </c>
    </row>
    <row r="195" spans="1:5" ht="28.5" x14ac:dyDescent="0.2">
      <c r="A195" s="68" t="s">
        <v>645</v>
      </c>
      <c r="B195" s="16" t="s">
        <v>28</v>
      </c>
      <c r="C195" s="16" t="s">
        <v>102</v>
      </c>
      <c r="D195" s="6" t="s">
        <v>631</v>
      </c>
      <c r="E195" s="52">
        <f>0.934-0.344-0.2</f>
        <v>0.39000000000000007</v>
      </c>
    </row>
    <row r="196" spans="1:5" ht="28.5" x14ac:dyDescent="0.2">
      <c r="A196" s="68" t="s">
        <v>645</v>
      </c>
      <c r="B196" s="16" t="s">
        <v>28</v>
      </c>
      <c r="C196" s="16" t="s">
        <v>102</v>
      </c>
      <c r="D196" s="6" t="s">
        <v>200</v>
      </c>
      <c r="E196" s="52">
        <f>2.556-1.664-0.096-0.064</f>
        <v>0.73200000000000021</v>
      </c>
    </row>
    <row r="197" spans="1:5" ht="28.5" x14ac:dyDescent="0.2">
      <c r="A197" s="68" t="s">
        <v>645</v>
      </c>
      <c r="B197" s="16" t="s">
        <v>28</v>
      </c>
      <c r="C197" s="16" t="s">
        <v>102</v>
      </c>
      <c r="D197" s="6" t="s">
        <v>632</v>
      </c>
      <c r="E197" s="52">
        <f>1.904-0.51-0.952-0.242</f>
        <v>0.19999999999999996</v>
      </c>
    </row>
    <row r="198" spans="1:5" ht="28.5" x14ac:dyDescent="0.2">
      <c r="A198" s="68" t="s">
        <v>645</v>
      </c>
      <c r="B198" s="9" t="s">
        <v>28</v>
      </c>
      <c r="C198" s="2" t="s">
        <v>223</v>
      </c>
      <c r="D198" s="16" t="s">
        <v>633</v>
      </c>
      <c r="E198" s="49">
        <f>5.7-2.758-0.236-0.16-1.164-0.284-0.354-0.4</f>
        <v>0.34400000000000031</v>
      </c>
    </row>
    <row r="199" spans="1:5" ht="28.5" x14ac:dyDescent="0.2">
      <c r="A199" s="68" t="s">
        <v>645</v>
      </c>
      <c r="B199" s="9" t="s">
        <v>28</v>
      </c>
      <c r="C199" s="2" t="s">
        <v>209</v>
      </c>
      <c r="D199" s="16" t="s">
        <v>309</v>
      </c>
      <c r="E199" s="49">
        <f>0.072</f>
        <v>7.1999999999999995E-2</v>
      </c>
    </row>
    <row r="200" spans="1:5" ht="28.5" x14ac:dyDescent="0.2">
      <c r="A200" s="68" t="s">
        <v>645</v>
      </c>
      <c r="B200" s="9" t="s">
        <v>28</v>
      </c>
      <c r="C200" s="2" t="s">
        <v>209</v>
      </c>
      <c r="D200" s="16" t="s">
        <v>384</v>
      </c>
      <c r="E200" s="49">
        <f>0.04</f>
        <v>0.04</v>
      </c>
    </row>
    <row r="201" spans="1:5" ht="28.5" x14ac:dyDescent="0.2">
      <c r="A201" s="68" t="s">
        <v>645</v>
      </c>
      <c r="B201" s="9" t="s">
        <v>28</v>
      </c>
      <c r="C201" s="2" t="s">
        <v>223</v>
      </c>
      <c r="D201" s="16" t="s">
        <v>458</v>
      </c>
      <c r="E201" s="49">
        <f>17.488-8.78-0.168-0.138-0.1-0.142+0.13</f>
        <v>8.2900000000000027</v>
      </c>
    </row>
    <row r="202" spans="1:5" ht="28.5" x14ac:dyDescent="0.2">
      <c r="A202" s="68" t="s">
        <v>645</v>
      </c>
      <c r="B202" s="14" t="s">
        <v>29</v>
      </c>
      <c r="C202" s="14" t="s">
        <v>321</v>
      </c>
      <c r="D202" s="25" t="s">
        <v>634</v>
      </c>
      <c r="E202" s="58">
        <f>1.18-0.098-0.04-0.05+0.002-0.573-0.242</f>
        <v>0.17899999999999983</v>
      </c>
    </row>
    <row r="203" spans="1:5" ht="28.5" x14ac:dyDescent="0.2">
      <c r="A203" s="68" t="s">
        <v>645</v>
      </c>
      <c r="B203" s="14" t="s">
        <v>29</v>
      </c>
      <c r="C203" s="14" t="s">
        <v>264</v>
      </c>
      <c r="D203" s="25" t="s">
        <v>40</v>
      </c>
      <c r="E203" s="58">
        <f>2.856-1.4</f>
        <v>1.456</v>
      </c>
    </row>
    <row r="204" spans="1:5" ht="28.5" x14ac:dyDescent="0.2">
      <c r="A204" s="68" t="s">
        <v>645</v>
      </c>
      <c r="B204" s="14" t="s">
        <v>29</v>
      </c>
      <c r="C204" s="14" t="s">
        <v>264</v>
      </c>
      <c r="D204" s="25" t="s">
        <v>505</v>
      </c>
      <c r="E204" s="58">
        <f>1.4-0.14-0.078-0.076</f>
        <v>1.1059999999999997</v>
      </c>
    </row>
    <row r="205" spans="1:5" ht="28.5" x14ac:dyDescent="0.2">
      <c r="A205" s="68" t="s">
        <v>645</v>
      </c>
      <c r="B205" s="14" t="s">
        <v>29</v>
      </c>
      <c r="C205" s="14" t="s">
        <v>157</v>
      </c>
      <c r="D205" s="25" t="s">
        <v>318</v>
      </c>
      <c r="E205" s="44">
        <f>3.57-1.708-0.97-0.15-0.086-0.002-0.145-0.001</f>
        <v>0.5079999999999999</v>
      </c>
    </row>
    <row r="206" spans="1:5" ht="28.5" x14ac:dyDescent="0.2">
      <c r="A206" s="68" t="s">
        <v>645</v>
      </c>
      <c r="B206" s="14" t="s">
        <v>29</v>
      </c>
      <c r="C206" s="14" t="s">
        <v>157</v>
      </c>
      <c r="D206" s="25" t="s">
        <v>279</v>
      </c>
      <c r="E206" s="44">
        <f>2.106-1.008-0.364+0.006</f>
        <v>0.73999999999999988</v>
      </c>
    </row>
    <row r="207" spans="1:5" ht="28.5" x14ac:dyDescent="0.2">
      <c r="A207" s="68" t="s">
        <v>645</v>
      </c>
      <c r="B207" s="14" t="s">
        <v>29</v>
      </c>
      <c r="C207" s="14" t="s">
        <v>221</v>
      </c>
      <c r="D207" s="25" t="s">
        <v>303</v>
      </c>
      <c r="E207" s="58">
        <f>2.09-1.29-0.106-0.002</f>
        <v>0.69199999999999984</v>
      </c>
    </row>
    <row r="208" spans="1:5" ht="28.5" x14ac:dyDescent="0.2">
      <c r="A208" s="68" t="s">
        <v>645</v>
      </c>
      <c r="B208" s="14" t="s">
        <v>29</v>
      </c>
      <c r="C208" s="14" t="s">
        <v>264</v>
      </c>
      <c r="D208" s="25" t="s">
        <v>504</v>
      </c>
      <c r="E208" s="58">
        <f>2.855-0.118-0.083-0.232-0.002-0.152-0.002</f>
        <v>2.266</v>
      </c>
    </row>
    <row r="209" spans="1:5" ht="28.5" x14ac:dyDescent="0.2">
      <c r="A209" s="68" t="s">
        <v>645</v>
      </c>
      <c r="B209" s="14" t="s">
        <v>29</v>
      </c>
      <c r="C209" s="14" t="s">
        <v>157</v>
      </c>
      <c r="D209" s="27" t="s">
        <v>635</v>
      </c>
      <c r="E209" s="61">
        <f>3.212-0.546+0.008-0.27-1.621</f>
        <v>0.78300000000000036</v>
      </c>
    </row>
    <row r="210" spans="1:5" ht="28.5" x14ac:dyDescent="0.2">
      <c r="A210" s="68" t="s">
        <v>645</v>
      </c>
      <c r="B210" s="14" t="s">
        <v>29</v>
      </c>
      <c r="C210" s="14" t="s">
        <v>322</v>
      </c>
      <c r="D210" s="27" t="s">
        <v>636</v>
      </c>
      <c r="E210" s="62">
        <f>4.387-0.194+0.131-1.872-0.006-2.19</f>
        <v>0.25600000000000023</v>
      </c>
    </row>
    <row r="211" spans="1:5" ht="28.5" x14ac:dyDescent="0.2">
      <c r="A211" s="68" t="s">
        <v>645</v>
      </c>
      <c r="B211" s="14" t="s">
        <v>29</v>
      </c>
      <c r="C211" s="14" t="s">
        <v>157</v>
      </c>
      <c r="D211" s="27" t="s">
        <v>360</v>
      </c>
      <c r="E211" s="61">
        <f>3.009-0.428-0.001-1.182+0.002-0.212-0.004</f>
        <v>1.1840000000000002</v>
      </c>
    </row>
    <row r="212" spans="1:5" ht="28.5" x14ac:dyDescent="0.2">
      <c r="A212" s="68" t="s">
        <v>645</v>
      </c>
      <c r="B212" s="14" t="s">
        <v>29</v>
      </c>
      <c r="C212" s="14" t="s">
        <v>157</v>
      </c>
      <c r="D212" s="27" t="s">
        <v>319</v>
      </c>
      <c r="E212" s="61">
        <f>4.74-2.108+0.02-0.612</f>
        <v>2.04</v>
      </c>
    </row>
    <row r="213" spans="1:5" ht="28.5" x14ac:dyDescent="0.2">
      <c r="A213" s="68" t="s">
        <v>645</v>
      </c>
      <c r="B213" s="14" t="s">
        <v>29</v>
      </c>
      <c r="C213" s="14" t="s">
        <v>321</v>
      </c>
      <c r="D213" s="27" t="s">
        <v>435</v>
      </c>
      <c r="E213" s="61">
        <f>6.109-3.736+0.121</f>
        <v>2.4939999999999998</v>
      </c>
    </row>
    <row r="214" spans="1:5" ht="28.5" x14ac:dyDescent="0.2">
      <c r="A214" s="68" t="s">
        <v>645</v>
      </c>
      <c r="B214" s="9" t="s">
        <v>17</v>
      </c>
      <c r="C214" s="2" t="s">
        <v>14</v>
      </c>
      <c r="D214" s="6" t="s">
        <v>510</v>
      </c>
      <c r="E214" s="47">
        <f>0.288-0.016-0.07-0.048-0.004</f>
        <v>0.14999999999999997</v>
      </c>
    </row>
    <row r="215" spans="1:5" ht="28.5" x14ac:dyDescent="0.2">
      <c r="A215" s="68" t="s">
        <v>645</v>
      </c>
      <c r="B215" s="9" t="s">
        <v>17</v>
      </c>
      <c r="C215" s="2" t="s">
        <v>14</v>
      </c>
      <c r="D215" s="6" t="s">
        <v>66</v>
      </c>
      <c r="E215" s="47">
        <f>1.425-0.698-0.712</f>
        <v>1.5000000000000124E-2</v>
      </c>
    </row>
    <row r="216" spans="1:5" ht="28.5" x14ac:dyDescent="0.2">
      <c r="A216" s="68" t="s">
        <v>645</v>
      </c>
      <c r="B216" s="9" t="s">
        <v>17</v>
      </c>
      <c r="C216" s="2" t="s">
        <v>14</v>
      </c>
      <c r="D216" s="6" t="s">
        <v>377</v>
      </c>
      <c r="E216" s="47">
        <f>0.406-0.204</f>
        <v>0.20200000000000004</v>
      </c>
    </row>
    <row r="217" spans="1:5" ht="28.5" x14ac:dyDescent="0.2">
      <c r="A217" s="68" t="s">
        <v>645</v>
      </c>
      <c r="B217" s="9" t="s">
        <v>17</v>
      </c>
      <c r="C217" s="2" t="s">
        <v>14</v>
      </c>
      <c r="D217" s="6" t="s">
        <v>27</v>
      </c>
      <c r="E217" s="57">
        <f>2.2-0.552-0.565-0.55</f>
        <v>0.53300000000000014</v>
      </c>
    </row>
    <row r="218" spans="1:5" ht="28.5" x14ac:dyDescent="0.2">
      <c r="A218" s="68" t="s">
        <v>645</v>
      </c>
      <c r="B218" s="9" t="s">
        <v>17</v>
      </c>
      <c r="C218" s="2" t="s">
        <v>14</v>
      </c>
      <c r="D218" s="6" t="s">
        <v>12</v>
      </c>
      <c r="E218" s="57">
        <f>2.725-0.682-0.683-0.678</f>
        <v>0.68200000000000005</v>
      </c>
    </row>
    <row r="219" spans="1:5" ht="28.5" x14ac:dyDescent="0.2">
      <c r="A219" s="68" t="s">
        <v>645</v>
      </c>
      <c r="B219" s="9" t="s">
        <v>17</v>
      </c>
      <c r="C219" s="2" t="s">
        <v>14</v>
      </c>
      <c r="D219" s="6" t="s">
        <v>554</v>
      </c>
      <c r="E219" s="57">
        <f>0.678-0.092-0.052</f>
        <v>0.53400000000000003</v>
      </c>
    </row>
    <row r="220" spans="1:5" ht="28.5" x14ac:dyDescent="0.2">
      <c r="A220" s="68" t="s">
        <v>645</v>
      </c>
      <c r="B220" s="9" t="s">
        <v>17</v>
      </c>
      <c r="C220" s="2" t="s">
        <v>14</v>
      </c>
      <c r="D220" s="16" t="s">
        <v>76</v>
      </c>
      <c r="E220" s="47">
        <f>2.982-0.962-0.96</f>
        <v>1.0600000000000005</v>
      </c>
    </row>
    <row r="221" spans="1:5" ht="28.5" x14ac:dyDescent="0.2">
      <c r="A221" s="68" t="s">
        <v>645</v>
      </c>
      <c r="B221" s="9" t="s">
        <v>17</v>
      </c>
      <c r="C221" s="2" t="s">
        <v>14</v>
      </c>
      <c r="D221" s="16" t="s">
        <v>308</v>
      </c>
      <c r="E221" s="47">
        <f>0.962-0.066-0.05+0.004</f>
        <v>0.84999999999999987</v>
      </c>
    </row>
    <row r="222" spans="1:5" ht="28.5" x14ac:dyDescent="0.2">
      <c r="A222" s="68" t="s">
        <v>645</v>
      </c>
      <c r="B222" s="9" t="s">
        <v>17</v>
      </c>
      <c r="C222" s="2" t="s">
        <v>209</v>
      </c>
      <c r="D222" s="16" t="s">
        <v>415</v>
      </c>
      <c r="E222" s="57">
        <f>3.411-1.135-1.146-0.047-0.098+0.015-0.176-0.004-0.18+0.004-0.47-0.01</f>
        <v>0.16400000000000015</v>
      </c>
    </row>
    <row r="223" spans="1:5" ht="28.5" x14ac:dyDescent="0.2">
      <c r="A223" s="68" t="s">
        <v>645</v>
      </c>
      <c r="B223" s="9" t="s">
        <v>17</v>
      </c>
      <c r="C223" s="2" t="s">
        <v>209</v>
      </c>
      <c r="D223" s="16" t="s">
        <v>34</v>
      </c>
      <c r="E223" s="57">
        <f>3.411-1.137</f>
        <v>2.274</v>
      </c>
    </row>
    <row r="224" spans="1:5" ht="28.5" x14ac:dyDescent="0.2">
      <c r="A224" s="68" t="s">
        <v>645</v>
      </c>
      <c r="B224" s="9" t="s">
        <v>17</v>
      </c>
      <c r="C224" s="2" t="s">
        <v>209</v>
      </c>
      <c r="D224" s="16" t="s">
        <v>637</v>
      </c>
      <c r="E224" s="57">
        <f>1.15-0.214-0.573</f>
        <v>0.36299999999999999</v>
      </c>
    </row>
    <row r="225" spans="1:5" ht="28.5" x14ac:dyDescent="0.2">
      <c r="A225" s="68" t="s">
        <v>645</v>
      </c>
      <c r="B225" s="9" t="s">
        <v>17</v>
      </c>
      <c r="C225" s="2" t="s">
        <v>209</v>
      </c>
      <c r="D225" s="16" t="s">
        <v>442</v>
      </c>
      <c r="E225" s="57">
        <f>2.856-1.428-0.71-0.28-0.356-0.02</f>
        <v>6.1999999999999958E-2</v>
      </c>
    </row>
    <row r="226" spans="1:5" ht="28.5" x14ac:dyDescent="0.2">
      <c r="A226" s="68" t="s">
        <v>645</v>
      </c>
      <c r="B226" s="9" t="s">
        <v>17</v>
      </c>
      <c r="C226" s="2" t="s">
        <v>209</v>
      </c>
      <c r="D226" s="16" t="s">
        <v>651</v>
      </c>
      <c r="E226" s="57">
        <f>2.856-0.8-0.6-0.4-0.8</f>
        <v>0.25600000000000001</v>
      </c>
    </row>
    <row r="227" spans="1:5" ht="28.5" x14ac:dyDescent="0.2">
      <c r="A227" s="68" t="s">
        <v>645</v>
      </c>
      <c r="B227" s="9" t="s">
        <v>17</v>
      </c>
      <c r="C227" s="2" t="s">
        <v>209</v>
      </c>
      <c r="D227" s="16" t="s">
        <v>652</v>
      </c>
      <c r="E227" s="57">
        <f>3.57-1-1</f>
        <v>1.5699999999999998</v>
      </c>
    </row>
    <row r="228" spans="1:5" ht="28.5" x14ac:dyDescent="0.2">
      <c r="A228" s="68" t="s">
        <v>645</v>
      </c>
      <c r="B228" s="9" t="s">
        <v>17</v>
      </c>
      <c r="C228" s="2" t="s">
        <v>209</v>
      </c>
      <c r="D228" s="16" t="s">
        <v>113</v>
      </c>
      <c r="E228" s="57">
        <f>3.57</f>
        <v>3.57</v>
      </c>
    </row>
    <row r="229" spans="1:5" ht="28.5" x14ac:dyDescent="0.2">
      <c r="A229" s="68" t="s">
        <v>645</v>
      </c>
      <c r="B229" s="9" t="s">
        <v>17</v>
      </c>
      <c r="C229" s="2" t="s">
        <v>14</v>
      </c>
      <c r="D229" s="16" t="s">
        <v>638</v>
      </c>
      <c r="E229" s="49">
        <f>2.85-1.4-0.05-0.466-0.004-0.24-0.004-0.6</f>
        <v>8.6000000000000187E-2</v>
      </c>
    </row>
    <row r="230" spans="1:5" ht="28.5" x14ac:dyDescent="0.2">
      <c r="A230" s="68" t="s">
        <v>645</v>
      </c>
      <c r="B230" s="9" t="s">
        <v>17</v>
      </c>
      <c r="C230" s="2" t="s">
        <v>14</v>
      </c>
      <c r="D230" s="16" t="s">
        <v>376</v>
      </c>
      <c r="E230" s="57">
        <f>4.284-2.092-0.876-0.102-0.526-0.304-0.002-0.09-0.164-0.004</f>
        <v>0.12399999999999969</v>
      </c>
    </row>
    <row r="231" spans="1:5" ht="28.5" x14ac:dyDescent="0.2">
      <c r="A231" s="68" t="s">
        <v>645</v>
      </c>
      <c r="B231" s="9" t="s">
        <v>17</v>
      </c>
      <c r="C231" s="2" t="s">
        <v>209</v>
      </c>
      <c r="D231" s="16" t="s">
        <v>639</v>
      </c>
      <c r="E231" s="49">
        <f>4.284-2.098-0.352-0.564-1.074</f>
        <v>0.19599999999999995</v>
      </c>
    </row>
    <row r="232" spans="1:5" ht="28.5" x14ac:dyDescent="0.2">
      <c r="A232" s="68" t="s">
        <v>645</v>
      </c>
      <c r="B232" s="9" t="s">
        <v>17</v>
      </c>
      <c r="C232" s="2" t="s">
        <v>209</v>
      </c>
      <c r="D232" s="16" t="s">
        <v>501</v>
      </c>
      <c r="E232" s="49">
        <f>2.098-1.05-0.694-0.176-0.006</f>
        <v>0.17199999999999988</v>
      </c>
    </row>
    <row r="233" spans="1:5" ht="28.5" x14ac:dyDescent="0.2">
      <c r="A233" s="68" t="s">
        <v>645</v>
      </c>
      <c r="B233" s="9" t="s">
        <v>17</v>
      </c>
      <c r="C233" s="2" t="s">
        <v>209</v>
      </c>
      <c r="D233" s="16" t="s">
        <v>365</v>
      </c>
      <c r="E233" s="49">
        <f>2.57-1.486-0.09-0.108-0.106-0.004-0.172-0.106-0.128-0.208-0.042</f>
        <v>0.11999999999999988</v>
      </c>
    </row>
    <row r="234" spans="1:5" ht="28.5" x14ac:dyDescent="0.2">
      <c r="A234" s="68" t="s">
        <v>645</v>
      </c>
      <c r="B234" s="9" t="s">
        <v>17</v>
      </c>
      <c r="C234" s="2" t="s">
        <v>209</v>
      </c>
      <c r="D234" s="16" t="s">
        <v>640</v>
      </c>
      <c r="E234" s="49">
        <f>2.57-0.7</f>
        <v>1.8699999999999999</v>
      </c>
    </row>
    <row r="235" spans="1:5" ht="28.5" x14ac:dyDescent="0.2">
      <c r="A235" s="68" t="s">
        <v>645</v>
      </c>
      <c r="B235" s="9" t="s">
        <v>17</v>
      </c>
      <c r="C235" s="2" t="s">
        <v>209</v>
      </c>
      <c r="D235" s="16" t="s">
        <v>641</v>
      </c>
      <c r="E235" s="57">
        <f>2.855-1.95-0.6</f>
        <v>0.30500000000000005</v>
      </c>
    </row>
    <row r="236" spans="1:5" ht="28.5" x14ac:dyDescent="0.2">
      <c r="A236" s="68" t="s">
        <v>645</v>
      </c>
      <c r="B236" s="9" t="s">
        <v>17</v>
      </c>
      <c r="C236" s="2" t="s">
        <v>14</v>
      </c>
      <c r="D236" s="16" t="s">
        <v>642</v>
      </c>
      <c r="E236" s="57">
        <f>3.044-0.22+0.166-1.072-0.2</f>
        <v>1.7179999999999997</v>
      </c>
    </row>
    <row r="237" spans="1:5" ht="28.5" x14ac:dyDescent="0.2">
      <c r="A237" s="68" t="s">
        <v>645</v>
      </c>
      <c r="B237" s="9" t="s">
        <v>17</v>
      </c>
      <c r="C237" s="2" t="s">
        <v>14</v>
      </c>
      <c r="D237" s="16" t="s">
        <v>418</v>
      </c>
      <c r="E237" s="57">
        <f>3.71-0.838-0.002-2.088-0.002-0.19-0.134-0.062-0.198-0.01</f>
        <v>0.18600000000000005</v>
      </c>
    </row>
    <row r="238" spans="1:5" ht="28.5" x14ac:dyDescent="0.2">
      <c r="A238" s="68" t="s">
        <v>645</v>
      </c>
      <c r="B238" s="9" t="s">
        <v>17</v>
      </c>
      <c r="C238" s="2" t="s">
        <v>14</v>
      </c>
      <c r="D238" s="16" t="s">
        <v>419</v>
      </c>
      <c r="E238" s="57">
        <f>0.198</f>
        <v>0.19800000000000001</v>
      </c>
    </row>
    <row r="239" spans="1:5" ht="28.5" x14ac:dyDescent="0.2">
      <c r="A239" s="68" t="s">
        <v>645</v>
      </c>
      <c r="B239" s="9" t="s">
        <v>17</v>
      </c>
      <c r="C239" s="2" t="s">
        <v>209</v>
      </c>
      <c r="D239" s="16" t="s">
        <v>393</v>
      </c>
      <c r="E239" s="57">
        <f>3.74-1.268-0.03-0.942-0.01-1.23-0.002-0.066-0.058-0.002</f>
        <v>0.13200000000000067</v>
      </c>
    </row>
    <row r="240" spans="1:5" ht="28.5" x14ac:dyDescent="0.2">
      <c r="A240" s="68" t="s">
        <v>645</v>
      </c>
      <c r="B240" s="9" t="s">
        <v>17</v>
      </c>
      <c r="C240" s="2" t="s">
        <v>209</v>
      </c>
      <c r="D240" s="16" t="s">
        <v>565</v>
      </c>
      <c r="E240" s="57">
        <f>3.569-2.338+0.043</f>
        <v>1.2739999999999998</v>
      </c>
    </row>
    <row r="241" spans="1:5" ht="28.5" x14ac:dyDescent="0.2">
      <c r="A241" s="68" t="s">
        <v>645</v>
      </c>
      <c r="B241" s="9" t="s">
        <v>17</v>
      </c>
      <c r="C241" s="2" t="s">
        <v>209</v>
      </c>
      <c r="D241" s="16" t="s">
        <v>559</v>
      </c>
      <c r="E241" s="57">
        <f>4.53-0.086-0.154-0.046-0.206-0.072-0.14-0.12-0.124-0.25-0.01-1.912-0.012-0.124-0.242-0.008</f>
        <v>1.0239999999999991</v>
      </c>
    </row>
    <row r="242" spans="1:5" ht="28.5" x14ac:dyDescent="0.2">
      <c r="A242" s="68" t="s">
        <v>645</v>
      </c>
      <c r="B242" s="9" t="s">
        <v>17</v>
      </c>
      <c r="C242" s="2" t="s">
        <v>209</v>
      </c>
      <c r="D242" s="16" t="s">
        <v>396</v>
      </c>
      <c r="E242" s="57">
        <f>0.12</f>
        <v>0.12</v>
      </c>
    </row>
    <row r="243" spans="1:5" ht="28.5" x14ac:dyDescent="0.2">
      <c r="A243" s="68" t="s">
        <v>645</v>
      </c>
      <c r="B243" s="9" t="s">
        <v>17</v>
      </c>
      <c r="C243" s="2" t="s">
        <v>209</v>
      </c>
      <c r="D243" s="16" t="s">
        <v>497</v>
      </c>
      <c r="E243" s="57">
        <f>2.72</f>
        <v>2.72</v>
      </c>
    </row>
    <row r="244" spans="1:5" ht="28.5" x14ac:dyDescent="0.2">
      <c r="A244" s="68" t="s">
        <v>645</v>
      </c>
      <c r="B244" s="9" t="s">
        <v>17</v>
      </c>
      <c r="C244" s="2" t="s">
        <v>209</v>
      </c>
      <c r="D244" s="37" t="s">
        <v>470</v>
      </c>
      <c r="E244" s="59">
        <f>3.01-0.218+0.038-0.89-0.104-0.154-0.002-0.998-0.004</f>
        <v>0.67799999999999949</v>
      </c>
    </row>
    <row r="245" spans="1:5" ht="28.5" x14ac:dyDescent="0.2">
      <c r="A245" s="68" t="s">
        <v>645</v>
      </c>
      <c r="B245" s="9" t="s">
        <v>17</v>
      </c>
      <c r="C245" s="2" t="s">
        <v>209</v>
      </c>
      <c r="D245" s="37" t="s">
        <v>495</v>
      </c>
      <c r="E245" s="59">
        <f>3.04</f>
        <v>3.04</v>
      </c>
    </row>
    <row r="246" spans="1:5" ht="28.5" x14ac:dyDescent="0.2">
      <c r="A246" s="68" t="s">
        <v>645</v>
      </c>
      <c r="B246" s="9" t="s">
        <v>17</v>
      </c>
      <c r="C246" s="2" t="s">
        <v>14</v>
      </c>
      <c r="D246" s="37" t="s">
        <v>526</v>
      </c>
      <c r="E246" s="53">
        <f>3.04-1.192-0.048</f>
        <v>1.8</v>
      </c>
    </row>
    <row r="247" spans="1:5" ht="28.5" x14ac:dyDescent="0.2">
      <c r="A247" s="68" t="s">
        <v>645</v>
      </c>
      <c r="B247" s="9" t="s">
        <v>17</v>
      </c>
      <c r="C247" s="2" t="s">
        <v>14</v>
      </c>
      <c r="D247" s="37" t="s">
        <v>459</v>
      </c>
      <c r="E247" s="53">
        <f>3.227-1.482-0.367+0.048-0.492-0.002</f>
        <v>0.93199999999999994</v>
      </c>
    </row>
    <row r="248" spans="1:5" ht="28.5" x14ac:dyDescent="0.2">
      <c r="A248" s="68" t="s">
        <v>645</v>
      </c>
      <c r="B248" s="9" t="s">
        <v>17</v>
      </c>
      <c r="C248" s="2" t="s">
        <v>14</v>
      </c>
      <c r="D248" s="37" t="s">
        <v>339</v>
      </c>
      <c r="E248" s="53">
        <f>0.28</f>
        <v>0.28000000000000003</v>
      </c>
    </row>
    <row r="249" spans="1:5" ht="28.5" x14ac:dyDescent="0.2">
      <c r="A249" s="68" t="s">
        <v>645</v>
      </c>
      <c r="B249" s="9" t="s">
        <v>17</v>
      </c>
      <c r="C249" s="2" t="s">
        <v>14</v>
      </c>
      <c r="D249" s="37" t="s">
        <v>460</v>
      </c>
      <c r="E249" s="53">
        <f>0.294</f>
        <v>0.29399999999999998</v>
      </c>
    </row>
    <row r="250" spans="1:5" ht="28.5" x14ac:dyDescent="0.2">
      <c r="A250" s="68" t="s">
        <v>645</v>
      </c>
      <c r="B250" s="9" t="s">
        <v>17</v>
      </c>
      <c r="C250" s="2" t="s">
        <v>219</v>
      </c>
      <c r="D250" s="37" t="s">
        <v>490</v>
      </c>
      <c r="E250" s="53">
        <f>2.025-0.794-0.023-0.058-0.106-0.004</f>
        <v>1.0399999999999998</v>
      </c>
    </row>
    <row r="251" spans="1:5" ht="28.5" x14ac:dyDescent="0.2">
      <c r="A251" s="68" t="s">
        <v>645</v>
      </c>
      <c r="B251" s="9" t="s">
        <v>17</v>
      </c>
      <c r="C251" s="2" t="s">
        <v>219</v>
      </c>
      <c r="D251" s="37" t="s">
        <v>317</v>
      </c>
      <c r="E251" s="53">
        <f>4.72</f>
        <v>4.72</v>
      </c>
    </row>
    <row r="252" spans="1:5" ht="28.5" x14ac:dyDescent="0.2">
      <c r="A252" s="68" t="s">
        <v>645</v>
      </c>
      <c r="B252" s="9" t="s">
        <v>17</v>
      </c>
      <c r="C252" s="2" t="s">
        <v>209</v>
      </c>
      <c r="D252" s="37" t="s">
        <v>643</v>
      </c>
      <c r="E252" s="60">
        <f>4.336-2.95</f>
        <v>1.3860000000000001</v>
      </c>
    </row>
    <row r="253" spans="1:5" ht="28.5" x14ac:dyDescent="0.2">
      <c r="A253" s="68" t="s">
        <v>645</v>
      </c>
      <c r="B253" s="9" t="s">
        <v>17</v>
      </c>
      <c r="C253" s="2" t="s">
        <v>209</v>
      </c>
      <c r="D253" s="37" t="s">
        <v>394</v>
      </c>
      <c r="E253" s="60">
        <f>8.603-0.816-1.024-1.998-0.631-1.346-0.004-1.872-0.008-0.122-0.358-0.006</f>
        <v>0.41799999999999926</v>
      </c>
    </row>
    <row r="254" spans="1:5" ht="28.5" x14ac:dyDescent="0.2">
      <c r="A254" s="68" t="s">
        <v>645</v>
      </c>
      <c r="B254" s="9" t="s">
        <v>17</v>
      </c>
      <c r="C254" s="2" t="s">
        <v>209</v>
      </c>
      <c r="D254" s="37" t="s">
        <v>395</v>
      </c>
      <c r="E254" s="60">
        <f>0.358</f>
        <v>0.35799999999999998</v>
      </c>
    </row>
    <row r="255" spans="1:5" ht="28.5" x14ac:dyDescent="0.2">
      <c r="A255" s="68" t="s">
        <v>645</v>
      </c>
      <c r="B255" s="9" t="s">
        <v>17</v>
      </c>
      <c r="C255" s="2" t="s">
        <v>209</v>
      </c>
      <c r="D255" s="37" t="s">
        <v>420</v>
      </c>
      <c r="E255" s="60">
        <f>0.126</f>
        <v>0.126</v>
      </c>
    </row>
    <row r="256" spans="1:5" ht="28.5" x14ac:dyDescent="0.2">
      <c r="A256" s="68" t="s">
        <v>645</v>
      </c>
      <c r="B256" s="9" t="s">
        <v>17</v>
      </c>
      <c r="C256" s="2" t="s">
        <v>209</v>
      </c>
      <c r="D256" s="37" t="s">
        <v>398</v>
      </c>
      <c r="E256" s="60">
        <f>0.16</f>
        <v>0.16</v>
      </c>
    </row>
    <row r="257" spans="1:5" ht="28.5" x14ac:dyDescent="0.2">
      <c r="A257" s="68" t="s">
        <v>645</v>
      </c>
      <c r="B257" s="9" t="s">
        <v>17</v>
      </c>
      <c r="C257" s="2" t="s">
        <v>209</v>
      </c>
      <c r="D257" s="37" t="s">
        <v>260</v>
      </c>
      <c r="E257" s="60">
        <f>18.536-9.21</f>
        <v>9.3260000000000005</v>
      </c>
    </row>
    <row r="258" spans="1:5" ht="28.5" x14ac:dyDescent="0.2">
      <c r="A258" s="68" t="s">
        <v>645</v>
      </c>
      <c r="B258" s="9" t="s">
        <v>17</v>
      </c>
      <c r="C258" s="2" t="s">
        <v>209</v>
      </c>
      <c r="D258" s="37" t="s">
        <v>254</v>
      </c>
      <c r="E258" s="60">
        <f>27.768-6.942-6.9</f>
        <v>13.926</v>
      </c>
    </row>
    <row r="259" spans="1:5" ht="28.5" x14ac:dyDescent="0.2">
      <c r="A259" s="68" t="s">
        <v>645</v>
      </c>
      <c r="B259" s="9" t="s">
        <v>17</v>
      </c>
      <c r="C259" s="2" t="s">
        <v>209</v>
      </c>
      <c r="D259" s="37" t="s">
        <v>475</v>
      </c>
      <c r="E259" s="60">
        <f>6.9-0.626-0.14-0.438+0.016-0.534-0.005</f>
        <v>5.1730000000000009</v>
      </c>
    </row>
    <row r="260" spans="1:5" ht="28.5" x14ac:dyDescent="0.2">
      <c r="A260" s="68" t="s">
        <v>645</v>
      </c>
      <c r="B260" s="9" t="s">
        <v>17</v>
      </c>
      <c r="C260" s="2" t="s">
        <v>209</v>
      </c>
      <c r="D260" s="37" t="s">
        <v>397</v>
      </c>
      <c r="E260" s="60">
        <f>0.438</f>
        <v>0.438</v>
      </c>
    </row>
    <row r="261" spans="1:5" ht="28.5" x14ac:dyDescent="0.2">
      <c r="A261" s="68" t="s">
        <v>645</v>
      </c>
      <c r="B261" s="9" t="s">
        <v>18</v>
      </c>
      <c r="C261" s="2" t="s">
        <v>14</v>
      </c>
      <c r="D261" s="27" t="s">
        <v>148</v>
      </c>
      <c r="E261" s="61">
        <f>2.985-1.358-0.124-0.124-0.123-0.123-0.124-0.124-0.126-0.126-0.124-0.124-0.126</f>
        <v>0.25899999999999945</v>
      </c>
    </row>
    <row r="262" spans="1:5" ht="28.5" x14ac:dyDescent="0.2">
      <c r="A262" s="68" t="s">
        <v>645</v>
      </c>
      <c r="B262" s="9" t="s">
        <v>18</v>
      </c>
      <c r="C262" s="2" t="s">
        <v>14</v>
      </c>
      <c r="D262" s="27" t="s">
        <v>469</v>
      </c>
      <c r="E262" s="61">
        <f>1.137-0.096-0.019-0.22-0.094-0.047-0.003-0.206</f>
        <v>0.45200000000000007</v>
      </c>
    </row>
    <row r="263" spans="1:5" ht="28.5" x14ac:dyDescent="0.2">
      <c r="A263" s="68" t="s">
        <v>645</v>
      </c>
      <c r="B263" s="9" t="s">
        <v>18</v>
      </c>
      <c r="C263" s="2" t="s">
        <v>14</v>
      </c>
      <c r="D263" s="27" t="s">
        <v>76</v>
      </c>
      <c r="E263" s="61">
        <f>2.982-1.008</f>
        <v>1.9740000000000002</v>
      </c>
    </row>
    <row r="264" spans="1:5" ht="28.5" x14ac:dyDescent="0.2">
      <c r="A264" s="68" t="s">
        <v>645</v>
      </c>
      <c r="B264" s="9" t="s">
        <v>18</v>
      </c>
      <c r="C264" s="2" t="s">
        <v>14</v>
      </c>
      <c r="D264" s="27" t="s">
        <v>468</v>
      </c>
      <c r="E264" s="61">
        <f>1.008-0.37-0.084-0.002-0.252</f>
        <v>0.30000000000000004</v>
      </c>
    </row>
    <row r="265" spans="1:5" ht="28.5" x14ac:dyDescent="0.2">
      <c r="A265" s="68" t="s">
        <v>645</v>
      </c>
      <c r="B265" s="9" t="s">
        <v>18</v>
      </c>
      <c r="C265" s="2" t="s">
        <v>209</v>
      </c>
      <c r="D265" s="27" t="s">
        <v>34</v>
      </c>
      <c r="E265" s="62">
        <f>3.411-1.134</f>
        <v>2.2770000000000001</v>
      </c>
    </row>
    <row r="266" spans="1:5" ht="28.5" x14ac:dyDescent="0.2">
      <c r="A266" s="68" t="s">
        <v>645</v>
      </c>
      <c r="B266" s="9" t="s">
        <v>18</v>
      </c>
      <c r="C266" s="2" t="s">
        <v>209</v>
      </c>
      <c r="D266" s="27" t="s">
        <v>619</v>
      </c>
      <c r="E266" s="62">
        <f>1.134-0.386-0.146</f>
        <v>0.60199999999999987</v>
      </c>
    </row>
    <row r="267" spans="1:5" ht="28.5" x14ac:dyDescent="0.2">
      <c r="A267" s="68" t="s">
        <v>645</v>
      </c>
      <c r="B267" s="9" t="s">
        <v>18</v>
      </c>
      <c r="C267" s="2" t="s">
        <v>14</v>
      </c>
      <c r="D267" s="27" t="s">
        <v>482</v>
      </c>
      <c r="E267" s="61">
        <f>2.856-1.428-0.96+0.006</f>
        <v>0.47399999999999998</v>
      </c>
    </row>
    <row r="268" spans="1:5" ht="28.5" x14ac:dyDescent="0.2">
      <c r="A268" s="68" t="s">
        <v>645</v>
      </c>
      <c r="B268" s="9" t="s">
        <v>18</v>
      </c>
      <c r="C268" s="2" t="s">
        <v>209</v>
      </c>
      <c r="D268" s="27" t="s">
        <v>620</v>
      </c>
      <c r="E268" s="61">
        <f>1.428-0.561</f>
        <v>0.86699999999999988</v>
      </c>
    </row>
    <row r="269" spans="1:5" ht="28.5" x14ac:dyDescent="0.2">
      <c r="A269" s="68" t="s">
        <v>645</v>
      </c>
      <c r="B269" s="9" t="s">
        <v>18</v>
      </c>
      <c r="C269" s="2" t="s">
        <v>209</v>
      </c>
      <c r="D269" s="27" t="s">
        <v>40</v>
      </c>
      <c r="E269" s="61">
        <f>2.856</f>
        <v>2.8559999999999999</v>
      </c>
    </row>
    <row r="270" spans="1:5" ht="28.5" x14ac:dyDescent="0.2">
      <c r="A270" s="68" t="s">
        <v>645</v>
      </c>
      <c r="B270" s="9" t="s">
        <v>18</v>
      </c>
      <c r="C270" s="2" t="s">
        <v>14</v>
      </c>
      <c r="D270" s="27" t="s">
        <v>381</v>
      </c>
      <c r="E270" s="61">
        <f>1.785-0.456-0.031-0.296-0.298-0.002-0.294-0.044-0.002-0.132-0.002</f>
        <v>0.22799999999999998</v>
      </c>
    </row>
    <row r="271" spans="1:5" ht="28.5" x14ac:dyDescent="0.2">
      <c r="A271" s="68" t="s">
        <v>645</v>
      </c>
      <c r="B271" s="9" t="s">
        <v>18</v>
      </c>
      <c r="C271" s="2" t="s">
        <v>14</v>
      </c>
      <c r="D271" s="27" t="s">
        <v>621</v>
      </c>
      <c r="E271" s="61">
        <f>3.57-1.742-0.868-0.088-0.598</f>
        <v>0.27399999999999991</v>
      </c>
    </row>
    <row r="272" spans="1:5" ht="28.5" x14ac:dyDescent="0.2">
      <c r="A272" s="68" t="s">
        <v>645</v>
      </c>
      <c r="B272" s="9" t="s">
        <v>18</v>
      </c>
      <c r="C272" s="2" t="s">
        <v>209</v>
      </c>
      <c r="D272" s="27" t="s">
        <v>113</v>
      </c>
      <c r="E272" s="61">
        <f>3.57</f>
        <v>3.57</v>
      </c>
    </row>
    <row r="273" spans="1:5" ht="28.5" x14ac:dyDescent="0.2">
      <c r="A273" s="68" t="s">
        <v>645</v>
      </c>
      <c r="B273" s="9" t="s">
        <v>18</v>
      </c>
      <c r="C273" s="2" t="s">
        <v>209</v>
      </c>
      <c r="D273" s="27" t="s">
        <v>622</v>
      </c>
      <c r="E273" s="62">
        <f>4.284-2.072-0.895-1.042-0.132</f>
        <v>0.14299999999999968</v>
      </c>
    </row>
    <row r="274" spans="1:5" ht="28.5" x14ac:dyDescent="0.2">
      <c r="A274" s="68" t="s">
        <v>645</v>
      </c>
      <c r="B274" s="9" t="s">
        <v>18</v>
      </c>
      <c r="C274" s="2" t="s">
        <v>209</v>
      </c>
      <c r="D274" s="27" t="s">
        <v>623</v>
      </c>
      <c r="E274" s="62">
        <f>2.072-0.348-0.895-0.488-0.146</f>
        <v>0.1950000000000002</v>
      </c>
    </row>
    <row r="275" spans="1:5" ht="28.5" x14ac:dyDescent="0.2">
      <c r="A275" s="68" t="s">
        <v>645</v>
      </c>
      <c r="B275" s="9" t="s">
        <v>18</v>
      </c>
      <c r="C275" s="2" t="s">
        <v>209</v>
      </c>
      <c r="D275" s="27" t="s">
        <v>65</v>
      </c>
      <c r="E275" s="62">
        <f>4.284-2.142</f>
        <v>2.1419999999999999</v>
      </c>
    </row>
    <row r="276" spans="1:5" ht="28.5" x14ac:dyDescent="0.2">
      <c r="A276" s="68" t="s">
        <v>645</v>
      </c>
      <c r="B276" s="9" t="s">
        <v>18</v>
      </c>
      <c r="C276" s="2" t="s">
        <v>209</v>
      </c>
      <c r="D276" s="27" t="s">
        <v>624</v>
      </c>
      <c r="E276" s="62">
        <f>2.142-0.54-0.195</f>
        <v>1.4069999999999998</v>
      </c>
    </row>
    <row r="277" spans="1:5" ht="28.5" x14ac:dyDescent="0.2">
      <c r="A277" s="68" t="s">
        <v>645</v>
      </c>
      <c r="B277" s="9" t="s">
        <v>18</v>
      </c>
      <c r="C277" s="2" t="s">
        <v>209</v>
      </c>
      <c r="D277" s="27" t="s">
        <v>483</v>
      </c>
      <c r="E277" s="62">
        <f>2.888-0.118+0.036-1.22-0.584-0.492-0.202-0.01</f>
        <v>0.29800000000000021</v>
      </c>
    </row>
    <row r="278" spans="1:5" ht="28.5" x14ac:dyDescent="0.2">
      <c r="A278" s="68" t="s">
        <v>645</v>
      </c>
      <c r="B278" s="9" t="s">
        <v>18</v>
      </c>
      <c r="C278" s="2" t="s">
        <v>209</v>
      </c>
      <c r="D278" s="27" t="s">
        <v>625</v>
      </c>
      <c r="E278" s="62">
        <f>2.855-0.968+0.013-0.356-0.755</f>
        <v>0.78900000000000003</v>
      </c>
    </row>
    <row r="279" spans="1:5" ht="28.5" x14ac:dyDescent="0.2">
      <c r="A279" s="68" t="s">
        <v>645</v>
      </c>
      <c r="B279" s="9" t="s">
        <v>18</v>
      </c>
      <c r="C279" s="2" t="s">
        <v>209</v>
      </c>
      <c r="D279" s="27" t="s">
        <v>626</v>
      </c>
      <c r="E279" s="61">
        <f>3.71-1.5-1.248-0.258-0.47</f>
        <v>0.23399999999999999</v>
      </c>
    </row>
    <row r="280" spans="1:5" ht="28.5" x14ac:dyDescent="0.2">
      <c r="A280" s="68" t="s">
        <v>645</v>
      </c>
      <c r="B280" s="9" t="s">
        <v>18</v>
      </c>
      <c r="C280" s="2" t="s">
        <v>209</v>
      </c>
      <c r="D280" s="27" t="s">
        <v>118</v>
      </c>
      <c r="E280" s="61">
        <f>3.68</f>
        <v>3.68</v>
      </c>
    </row>
    <row r="281" spans="1:5" ht="28.5" x14ac:dyDescent="0.2">
      <c r="A281" s="68" t="s">
        <v>645</v>
      </c>
      <c r="B281" s="9" t="s">
        <v>18</v>
      </c>
      <c r="C281" s="2" t="s">
        <v>209</v>
      </c>
      <c r="D281" s="27" t="s">
        <v>627</v>
      </c>
      <c r="E281" s="62">
        <f>4.42-1.46-0.426-0.56-0.4</f>
        <v>1.5739999999999998</v>
      </c>
    </row>
    <row r="282" spans="1:5" ht="28.5" x14ac:dyDescent="0.2">
      <c r="A282" s="68" t="s">
        <v>645</v>
      </c>
      <c r="B282" s="9" t="s">
        <v>18</v>
      </c>
      <c r="C282" s="2" t="s">
        <v>209</v>
      </c>
      <c r="D282" s="27" t="s">
        <v>575</v>
      </c>
      <c r="E282" s="62">
        <f>4.8</f>
        <v>4.8</v>
      </c>
    </row>
    <row r="283" spans="1:5" ht="28.5" x14ac:dyDescent="0.2">
      <c r="A283" s="68" t="s">
        <v>645</v>
      </c>
      <c r="B283" s="9" t="s">
        <v>18</v>
      </c>
      <c r="C283" s="2" t="s">
        <v>209</v>
      </c>
      <c r="D283" s="6" t="s">
        <v>628</v>
      </c>
      <c r="E283" s="52">
        <f>3.05-1.134-0.26-0.042-0.6</f>
        <v>1.0139999999999998</v>
      </c>
    </row>
    <row r="284" spans="1:5" ht="28.5" x14ac:dyDescent="0.2">
      <c r="A284" s="68" t="s">
        <v>645</v>
      </c>
      <c r="B284" s="9" t="s">
        <v>18</v>
      </c>
      <c r="C284" s="2" t="s">
        <v>209</v>
      </c>
      <c r="D284" s="6" t="s">
        <v>515</v>
      </c>
      <c r="E284" s="52">
        <f>0.26</f>
        <v>0.26</v>
      </c>
    </row>
    <row r="285" spans="1:5" ht="28.5" x14ac:dyDescent="0.2">
      <c r="A285" s="68" t="s">
        <v>645</v>
      </c>
      <c r="B285" s="9" t="s">
        <v>18</v>
      </c>
      <c r="C285" s="2" t="s">
        <v>19</v>
      </c>
      <c r="D285" s="6" t="s">
        <v>94</v>
      </c>
      <c r="E285" s="52">
        <f>0.645-0.173-0.336-0.021</f>
        <v>0.115</v>
      </c>
    </row>
    <row r="286" spans="1:5" ht="28.5" x14ac:dyDescent="0.2">
      <c r="A286" s="68" t="s">
        <v>645</v>
      </c>
      <c r="B286" s="9" t="s">
        <v>18</v>
      </c>
      <c r="C286" s="2" t="s">
        <v>14</v>
      </c>
      <c r="D286" s="6" t="s">
        <v>461</v>
      </c>
      <c r="E286" s="52">
        <f>1.266-0.362+0.002-0.18-0.01</f>
        <v>0.71599999999999997</v>
      </c>
    </row>
    <row r="287" spans="1:5" ht="28.5" x14ac:dyDescent="0.2">
      <c r="A287" s="68" t="s">
        <v>645</v>
      </c>
      <c r="B287" s="9" t="s">
        <v>18</v>
      </c>
      <c r="C287" s="2" t="s">
        <v>209</v>
      </c>
      <c r="D287" s="6" t="s">
        <v>496</v>
      </c>
      <c r="E287" s="52">
        <f>3</f>
        <v>3</v>
      </c>
    </row>
    <row r="288" spans="1:5" ht="28.5" x14ac:dyDescent="0.2">
      <c r="A288" s="68" t="s">
        <v>645</v>
      </c>
      <c r="B288" s="9" t="s">
        <v>18</v>
      </c>
      <c r="C288" s="2" t="s">
        <v>209</v>
      </c>
      <c r="D288" s="6" t="s">
        <v>629</v>
      </c>
      <c r="E288" s="52">
        <f>2.89-1.115</f>
        <v>1.7750000000000001</v>
      </c>
    </row>
    <row r="289" spans="1:5" ht="28.5" x14ac:dyDescent="0.2">
      <c r="A289" s="68" t="s">
        <v>645</v>
      </c>
      <c r="B289" s="9" t="s">
        <v>18</v>
      </c>
      <c r="C289" s="2" t="s">
        <v>261</v>
      </c>
      <c r="D289" s="6" t="s">
        <v>630</v>
      </c>
      <c r="E289" s="52">
        <f>4.276-0.826-1.75+0.178-0.5</f>
        <v>1.3779999999999997</v>
      </c>
    </row>
    <row r="290" spans="1:5" ht="28.5" x14ac:dyDescent="0.2">
      <c r="A290" s="68" t="s">
        <v>645</v>
      </c>
      <c r="B290" s="9" t="s">
        <v>18</v>
      </c>
      <c r="C290" s="2" t="s">
        <v>261</v>
      </c>
      <c r="D290" s="6" t="s">
        <v>503</v>
      </c>
      <c r="E290" s="52">
        <f>1.75</f>
        <v>1.75</v>
      </c>
    </row>
    <row r="291" spans="1:5" ht="28.5" x14ac:dyDescent="0.2">
      <c r="A291" s="68" t="s">
        <v>645</v>
      </c>
      <c r="B291" s="9" t="s">
        <v>18</v>
      </c>
      <c r="C291" s="2" t="s">
        <v>261</v>
      </c>
      <c r="D291" s="6" t="s">
        <v>421</v>
      </c>
      <c r="E291" s="52">
        <f>20.826-7.08-7.174-4.284</f>
        <v>2.2880000000000003</v>
      </c>
    </row>
    <row r="292" spans="1:5" ht="28.5" x14ac:dyDescent="0.2">
      <c r="A292" s="68" t="s">
        <v>645</v>
      </c>
      <c r="B292" s="9" t="s">
        <v>18</v>
      </c>
      <c r="C292" s="2" t="s">
        <v>261</v>
      </c>
      <c r="D292" s="6" t="s">
        <v>391</v>
      </c>
      <c r="E292" s="52">
        <f>7.174-0.802-4.496-0.144</f>
        <v>1.7319999999999995</v>
      </c>
    </row>
    <row r="293" spans="1:5" ht="28.5" x14ac:dyDescent="0.2">
      <c r="A293" s="68" t="s">
        <v>645</v>
      </c>
      <c r="B293" s="9" t="s">
        <v>80</v>
      </c>
      <c r="C293" s="2" t="s">
        <v>116</v>
      </c>
      <c r="D293" s="6" t="s">
        <v>9</v>
      </c>
      <c r="E293" s="47">
        <f>1.05</f>
        <v>1.05</v>
      </c>
    </row>
    <row r="294" spans="1:5" ht="28.5" x14ac:dyDescent="0.2">
      <c r="A294" s="68" t="s">
        <v>645</v>
      </c>
      <c r="B294" s="9" t="s">
        <v>80</v>
      </c>
      <c r="C294" s="2" t="s">
        <v>116</v>
      </c>
      <c r="D294" s="6" t="s">
        <v>9</v>
      </c>
      <c r="E294" s="47">
        <f>0.975</f>
        <v>0.97499999999999998</v>
      </c>
    </row>
    <row r="295" spans="1:5" ht="28.5" x14ac:dyDescent="0.2">
      <c r="A295" s="68" t="s">
        <v>645</v>
      </c>
      <c r="B295" s="9" t="s">
        <v>80</v>
      </c>
      <c r="C295" s="2" t="s">
        <v>116</v>
      </c>
      <c r="D295" s="6" t="s">
        <v>114</v>
      </c>
      <c r="E295" s="47">
        <f>2.045-0.506</f>
        <v>1.5389999999999999</v>
      </c>
    </row>
    <row r="296" spans="1:5" ht="28.5" x14ac:dyDescent="0.2">
      <c r="A296" s="68" t="s">
        <v>645</v>
      </c>
      <c r="B296" s="1" t="s">
        <v>80</v>
      </c>
      <c r="C296" s="5" t="s">
        <v>116</v>
      </c>
      <c r="D296" s="15" t="s">
        <v>115</v>
      </c>
      <c r="E296" s="50">
        <f>0.955-0.16</f>
        <v>0.79499999999999993</v>
      </c>
    </row>
    <row r="297" spans="1:5" ht="28.5" x14ac:dyDescent="0.2">
      <c r="A297" s="68" t="s">
        <v>645</v>
      </c>
      <c r="B297" s="69" t="s">
        <v>80</v>
      </c>
      <c r="C297" s="2" t="s">
        <v>116</v>
      </c>
      <c r="D297" s="6" t="s">
        <v>191</v>
      </c>
      <c r="E297" s="52">
        <f>2.24</f>
        <v>2.2400000000000002</v>
      </c>
    </row>
    <row r="298" spans="1:5" ht="28.5" x14ac:dyDescent="0.2">
      <c r="A298" s="68" t="s">
        <v>645</v>
      </c>
      <c r="B298" s="64" t="s">
        <v>217</v>
      </c>
      <c r="C298" s="2" t="s">
        <v>218</v>
      </c>
      <c r="D298" s="6" t="s">
        <v>517</v>
      </c>
      <c r="E298" s="52">
        <f>0.572</f>
        <v>0.57199999999999995</v>
      </c>
    </row>
    <row r="299" spans="1:5" ht="28.5" x14ac:dyDescent="0.2">
      <c r="A299" s="68" t="s">
        <v>645</v>
      </c>
      <c r="B299" s="25" t="s">
        <v>425</v>
      </c>
      <c r="C299" s="16" t="s">
        <v>427</v>
      </c>
      <c r="D299" s="25" t="s">
        <v>426</v>
      </c>
      <c r="E299" s="44">
        <f>2.844-1.87</f>
        <v>0.97399999999999975</v>
      </c>
    </row>
    <row r="300" spans="1:5" ht="28.5" x14ac:dyDescent="0.2">
      <c r="A300" s="68" t="s">
        <v>645</v>
      </c>
      <c r="B300" s="8" t="s">
        <v>67</v>
      </c>
      <c r="C300" s="37" t="s">
        <v>153</v>
      </c>
      <c r="D300" s="28" t="s">
        <v>69</v>
      </c>
      <c r="E300" s="59">
        <f>0.776-0.516</f>
        <v>0.26</v>
      </c>
    </row>
    <row r="301" spans="1:5" ht="28.5" x14ac:dyDescent="0.2">
      <c r="A301" s="68" t="s">
        <v>645</v>
      </c>
      <c r="B301" s="8" t="s">
        <v>67</v>
      </c>
      <c r="C301" s="37" t="s">
        <v>151</v>
      </c>
      <c r="D301" s="28" t="s">
        <v>150</v>
      </c>
      <c r="E301" s="59">
        <f>5.1-2.76</f>
        <v>2.34</v>
      </c>
    </row>
    <row r="302" spans="1:5" ht="28.5" x14ac:dyDescent="0.2">
      <c r="A302" s="68" t="s">
        <v>646</v>
      </c>
      <c r="B302" s="3" t="s">
        <v>16</v>
      </c>
      <c r="C302" s="3" t="s">
        <v>235</v>
      </c>
      <c r="D302" s="15" t="s">
        <v>169</v>
      </c>
      <c r="E302" s="50">
        <f>0.124-0.03</f>
        <v>9.4E-2</v>
      </c>
    </row>
    <row r="303" spans="1:5" ht="28.5" x14ac:dyDescent="0.2">
      <c r="A303" s="68" t="s">
        <v>646</v>
      </c>
      <c r="B303" s="3" t="s">
        <v>16</v>
      </c>
      <c r="C303" s="3" t="s">
        <v>235</v>
      </c>
      <c r="D303" s="15" t="s">
        <v>7</v>
      </c>
      <c r="E303" s="50">
        <f>3.93-0.203-0.032-0.508-0.316-0.032-0.032-0.16-0.129-0.094-0.127-0.032-0.062-0.034-0.032-0.284</f>
        <v>1.8530000000000009</v>
      </c>
    </row>
    <row r="304" spans="1:5" ht="28.5" x14ac:dyDescent="0.2">
      <c r="A304" s="68" t="s">
        <v>646</v>
      </c>
      <c r="B304" s="3" t="s">
        <v>16</v>
      </c>
      <c r="C304" s="3" t="s">
        <v>235</v>
      </c>
      <c r="D304" s="15" t="s">
        <v>8</v>
      </c>
      <c r="E304" s="50">
        <f>4.085-0.048-0.048-0.29-0.048-0.048-0.24</f>
        <v>3.3629999999999995</v>
      </c>
    </row>
    <row r="305" spans="1:5" ht="28.5" x14ac:dyDescent="0.2">
      <c r="A305" s="68" t="s">
        <v>646</v>
      </c>
      <c r="B305" s="3" t="s">
        <v>16</v>
      </c>
      <c r="C305" s="3" t="s">
        <v>235</v>
      </c>
      <c r="D305" s="15" t="s">
        <v>594</v>
      </c>
      <c r="E305" s="50">
        <f>0.048-0.01</f>
        <v>3.7999999999999999E-2</v>
      </c>
    </row>
    <row r="306" spans="1:5" ht="28.5" x14ac:dyDescent="0.2">
      <c r="A306" s="68" t="s">
        <v>646</v>
      </c>
      <c r="B306" s="1" t="s">
        <v>16</v>
      </c>
      <c r="C306" s="3" t="s">
        <v>235</v>
      </c>
      <c r="D306" s="6" t="s">
        <v>9</v>
      </c>
      <c r="E306" s="50">
        <f>2.018-0.065-0.316-0.19</f>
        <v>1.4469999999999998</v>
      </c>
    </row>
    <row r="307" spans="1:5" ht="28.5" x14ac:dyDescent="0.2">
      <c r="A307" s="68" t="s">
        <v>646</v>
      </c>
      <c r="B307" s="1" t="s">
        <v>16</v>
      </c>
      <c r="C307" s="3" t="s">
        <v>235</v>
      </c>
      <c r="D307" s="6" t="s">
        <v>9</v>
      </c>
      <c r="E307" s="50">
        <f>4.02</f>
        <v>4.0199999999999996</v>
      </c>
    </row>
    <row r="308" spans="1:5" ht="28.5" x14ac:dyDescent="0.2">
      <c r="A308" s="68" t="s">
        <v>646</v>
      </c>
      <c r="B308" s="3" t="s">
        <v>16</v>
      </c>
      <c r="C308" s="3" t="s">
        <v>235</v>
      </c>
      <c r="D308" s="15" t="s">
        <v>105</v>
      </c>
      <c r="E308" s="51">
        <f>4.4-0.364-0.708-0.355</f>
        <v>2.9730000000000003</v>
      </c>
    </row>
    <row r="309" spans="1:5" ht="28.5" x14ac:dyDescent="0.2">
      <c r="A309" s="68" t="s">
        <v>646</v>
      </c>
      <c r="B309" s="3" t="s">
        <v>16</v>
      </c>
      <c r="C309" s="3" t="s">
        <v>235</v>
      </c>
      <c r="D309" s="15" t="s">
        <v>595</v>
      </c>
      <c r="E309" s="51">
        <f>0.355-0.017-0.024-0.025+0.001-0.09-0.088-0.02-0.016</f>
        <v>7.5999999999999929E-2</v>
      </c>
    </row>
    <row r="310" spans="1:5" ht="28.5" x14ac:dyDescent="0.2">
      <c r="A310" s="68" t="s">
        <v>646</v>
      </c>
      <c r="B310" s="3" t="s">
        <v>16</v>
      </c>
      <c r="C310" s="3" t="s">
        <v>235</v>
      </c>
      <c r="D310" s="15" t="s">
        <v>105</v>
      </c>
      <c r="E310" s="51">
        <f>4.24</f>
        <v>4.24</v>
      </c>
    </row>
    <row r="311" spans="1:5" ht="28.5" x14ac:dyDescent="0.2">
      <c r="A311" s="68" t="s">
        <v>646</v>
      </c>
      <c r="B311" s="3" t="s">
        <v>16</v>
      </c>
      <c r="C311" s="4" t="s">
        <v>73</v>
      </c>
      <c r="D311" s="15" t="s">
        <v>178</v>
      </c>
      <c r="E311" s="51">
        <f>3.81-1.672-0.864-0.436-0.43-0.07+0.013-0.14-0.001-0.106-0.018-0.002-0.036</f>
        <v>4.8000000000000077E-2</v>
      </c>
    </row>
    <row r="312" spans="1:5" ht="28.5" x14ac:dyDescent="0.2">
      <c r="A312" s="68" t="s">
        <v>646</v>
      </c>
      <c r="B312" s="3" t="s">
        <v>16</v>
      </c>
      <c r="C312" s="4" t="s">
        <v>73</v>
      </c>
      <c r="D312" s="15" t="s">
        <v>571</v>
      </c>
      <c r="E312" s="51">
        <f>4.38-0.442-0.87-0.444-0.442-0.45-0.872-0.44-0.108+0.01</f>
        <v>0.32199999999999956</v>
      </c>
    </row>
    <row r="313" spans="1:5" ht="28.5" x14ac:dyDescent="0.2">
      <c r="A313" s="68" t="s">
        <v>646</v>
      </c>
      <c r="B313" s="3" t="s">
        <v>16</v>
      </c>
      <c r="C313" s="4" t="s">
        <v>73</v>
      </c>
      <c r="D313" s="15" t="s">
        <v>55</v>
      </c>
      <c r="E313" s="51">
        <f>4.18</f>
        <v>4.18</v>
      </c>
    </row>
    <row r="314" spans="1:5" ht="28.5" x14ac:dyDescent="0.2">
      <c r="A314" s="68" t="s">
        <v>646</v>
      </c>
      <c r="B314" s="3" t="s">
        <v>16</v>
      </c>
      <c r="C314" s="3" t="s">
        <v>73</v>
      </c>
      <c r="D314" s="15" t="s">
        <v>27</v>
      </c>
      <c r="E314" s="50">
        <f>5.05-0.57-0.56-0.562-1.124-1.12-0.568</f>
        <v>0.54599999999999949</v>
      </c>
    </row>
    <row r="315" spans="1:5" ht="28.5" x14ac:dyDescent="0.2">
      <c r="A315" s="68" t="s">
        <v>646</v>
      </c>
      <c r="B315" s="3" t="s">
        <v>16</v>
      </c>
      <c r="C315" s="3" t="s">
        <v>73</v>
      </c>
      <c r="D315" s="15" t="s">
        <v>422</v>
      </c>
      <c r="E315" s="50">
        <f>0.57-0.122-0.024-0.014-0.14-0.092-0.034-0.002</f>
        <v>0.1419999999999999</v>
      </c>
    </row>
    <row r="316" spans="1:5" ht="28.5" x14ac:dyDescent="0.2">
      <c r="A316" s="68" t="s">
        <v>646</v>
      </c>
      <c r="B316" s="3" t="s">
        <v>16</v>
      </c>
      <c r="C316" s="3" t="s">
        <v>73</v>
      </c>
      <c r="D316" s="15" t="s">
        <v>27</v>
      </c>
      <c r="E316" s="50">
        <f>3.3</f>
        <v>3.3</v>
      </c>
    </row>
    <row r="317" spans="1:5" ht="28.5" x14ac:dyDescent="0.2">
      <c r="A317" s="68" t="s">
        <v>646</v>
      </c>
      <c r="B317" s="3" t="s">
        <v>16</v>
      </c>
      <c r="C317" s="3" t="s">
        <v>73</v>
      </c>
      <c r="D317" s="15" t="s">
        <v>27</v>
      </c>
      <c r="E317" s="50">
        <f>1.1</f>
        <v>1.1000000000000001</v>
      </c>
    </row>
    <row r="318" spans="1:5" ht="28.5" x14ac:dyDescent="0.2">
      <c r="A318" s="68" t="s">
        <v>646</v>
      </c>
      <c r="B318" s="3" t="s">
        <v>16</v>
      </c>
      <c r="C318" s="16" t="s">
        <v>73</v>
      </c>
      <c r="D318" s="15" t="s">
        <v>12</v>
      </c>
      <c r="E318" s="51">
        <f>4.21-0.688-0.7-0.706-0.702-0.704</f>
        <v>0.71000000000000019</v>
      </c>
    </row>
    <row r="319" spans="1:5" ht="28.5" x14ac:dyDescent="0.2">
      <c r="A319" s="68" t="s">
        <v>646</v>
      </c>
      <c r="B319" s="3" t="s">
        <v>16</v>
      </c>
      <c r="C319" s="16" t="s">
        <v>73</v>
      </c>
      <c r="D319" s="15" t="s">
        <v>438</v>
      </c>
      <c r="E319" s="51">
        <f>0.702-0.058-0.232-0.118-0.119-0.005</f>
        <v>0.16999999999999993</v>
      </c>
    </row>
    <row r="320" spans="1:5" ht="28.5" x14ac:dyDescent="0.2">
      <c r="A320" s="68" t="s">
        <v>646</v>
      </c>
      <c r="B320" s="3" t="s">
        <v>16</v>
      </c>
      <c r="C320" s="16" t="s">
        <v>73</v>
      </c>
      <c r="D320" s="15" t="s">
        <v>12</v>
      </c>
      <c r="E320" s="51">
        <f>4.19-0.694-0.716</f>
        <v>2.7800000000000002</v>
      </c>
    </row>
    <row r="321" spans="1:5" ht="28.5" x14ac:dyDescent="0.2">
      <c r="A321" s="68" t="s">
        <v>646</v>
      </c>
      <c r="B321" s="3" t="s">
        <v>16</v>
      </c>
      <c r="C321" s="16" t="s">
        <v>73</v>
      </c>
      <c r="D321" s="15" t="s">
        <v>549</v>
      </c>
      <c r="E321" s="50">
        <f>0.842-0.184-0.036-0.19-0.212</f>
        <v>0.21999999999999989</v>
      </c>
    </row>
    <row r="322" spans="1:5" ht="28.5" x14ac:dyDescent="0.2">
      <c r="A322" s="68" t="s">
        <v>646</v>
      </c>
      <c r="B322" s="3" t="s">
        <v>16</v>
      </c>
      <c r="C322" s="16" t="s">
        <v>73</v>
      </c>
      <c r="D322" s="15" t="s">
        <v>440</v>
      </c>
      <c r="E322" s="51">
        <f>0.84-0.52+0.004-0.06</f>
        <v>0.26399999999999996</v>
      </c>
    </row>
    <row r="323" spans="1:5" ht="28.5" x14ac:dyDescent="0.2">
      <c r="A323" s="68" t="s">
        <v>646</v>
      </c>
      <c r="B323" s="3" t="s">
        <v>16</v>
      </c>
      <c r="C323" s="16" t="s">
        <v>73</v>
      </c>
      <c r="D323" s="15" t="s">
        <v>53</v>
      </c>
      <c r="E323" s="51">
        <f>3.36-0.834</f>
        <v>2.5259999999999998</v>
      </c>
    </row>
    <row r="324" spans="1:5" ht="28.5" x14ac:dyDescent="0.2">
      <c r="A324" s="68" t="s">
        <v>646</v>
      </c>
      <c r="B324" s="3" t="s">
        <v>16</v>
      </c>
      <c r="C324" s="16" t="s">
        <v>73</v>
      </c>
      <c r="D324" s="15" t="s">
        <v>537</v>
      </c>
      <c r="E324" s="51">
        <f>0.834-0.486-0.212+0.002-0.038+0.004</f>
        <v>0.10399999999999998</v>
      </c>
    </row>
    <row r="325" spans="1:5" ht="28.5" x14ac:dyDescent="0.2">
      <c r="A325" s="68" t="s">
        <v>646</v>
      </c>
      <c r="B325" s="3" t="s">
        <v>16</v>
      </c>
      <c r="C325" s="16" t="s">
        <v>73</v>
      </c>
      <c r="D325" s="15" t="s">
        <v>53</v>
      </c>
      <c r="E325" s="51">
        <f>2.55</f>
        <v>2.5499999999999998</v>
      </c>
    </row>
    <row r="326" spans="1:5" ht="28.5" x14ac:dyDescent="0.2">
      <c r="A326" s="68" t="s">
        <v>646</v>
      </c>
      <c r="B326" s="3" t="s">
        <v>16</v>
      </c>
      <c r="C326" s="6" t="s">
        <v>163</v>
      </c>
      <c r="D326" s="15" t="s">
        <v>160</v>
      </c>
      <c r="E326" s="51">
        <v>0.22900000000000001</v>
      </c>
    </row>
    <row r="327" spans="1:5" ht="28.5" x14ac:dyDescent="0.2">
      <c r="A327" s="68" t="s">
        <v>646</v>
      </c>
      <c r="B327" s="3" t="s">
        <v>16</v>
      </c>
      <c r="C327" s="6" t="s">
        <v>163</v>
      </c>
      <c r="D327" s="15" t="s">
        <v>161</v>
      </c>
      <c r="E327" s="51">
        <f>5.477-0.082-1.708-0.08-0.082</f>
        <v>3.5250000000000004</v>
      </c>
    </row>
    <row r="328" spans="1:5" ht="28.5" x14ac:dyDescent="0.2">
      <c r="A328" s="68" t="s">
        <v>646</v>
      </c>
      <c r="B328" s="3" t="s">
        <v>16</v>
      </c>
      <c r="C328" s="16" t="s">
        <v>73</v>
      </c>
      <c r="D328" s="20" t="s">
        <v>569</v>
      </c>
      <c r="E328" s="51">
        <f>0.975-0.275-0.07-0.002-0.04-0.002</f>
        <v>0.58599999999999985</v>
      </c>
    </row>
    <row r="329" spans="1:5" ht="28.5" x14ac:dyDescent="0.2">
      <c r="A329" s="68" t="s">
        <v>646</v>
      </c>
      <c r="B329" s="3" t="s">
        <v>16</v>
      </c>
      <c r="C329" s="16" t="s">
        <v>73</v>
      </c>
      <c r="D329" s="20" t="s">
        <v>383</v>
      </c>
      <c r="E329" s="50">
        <f>1.95-0.972</f>
        <v>0.97799999999999998</v>
      </c>
    </row>
    <row r="330" spans="1:5" ht="28.5" x14ac:dyDescent="0.2">
      <c r="A330" s="68" t="s">
        <v>646</v>
      </c>
      <c r="B330" s="3" t="s">
        <v>16</v>
      </c>
      <c r="C330" s="16" t="s">
        <v>73</v>
      </c>
      <c r="D330" s="20" t="s">
        <v>76</v>
      </c>
      <c r="E330" s="50">
        <f>1.93</f>
        <v>1.93</v>
      </c>
    </row>
    <row r="331" spans="1:5" ht="28.5" x14ac:dyDescent="0.2">
      <c r="A331" s="68" t="s">
        <v>646</v>
      </c>
      <c r="B331" s="3" t="s">
        <v>16</v>
      </c>
      <c r="C331" s="16" t="s">
        <v>73</v>
      </c>
      <c r="D331" s="15" t="s">
        <v>441</v>
      </c>
      <c r="E331" s="50">
        <f>3.36-1.127-1.13-0.313-0.069-0.003-0.295-0.001-0.24-0.078</f>
        <v>0.10399999999999988</v>
      </c>
    </row>
    <row r="332" spans="1:5" ht="28.5" x14ac:dyDescent="0.2">
      <c r="A332" s="68" t="s">
        <v>646</v>
      </c>
      <c r="B332" s="3" t="s">
        <v>16</v>
      </c>
      <c r="C332" s="16" t="s">
        <v>73</v>
      </c>
      <c r="D332" s="15" t="s">
        <v>522</v>
      </c>
      <c r="E332" s="50">
        <f>1.13-0.226-0.376-0.004-0.114-0.071-0.001-0.082-0.048-0.002-0.076-0.002</f>
        <v>0.12799999999999989</v>
      </c>
    </row>
    <row r="333" spans="1:5" ht="28.5" x14ac:dyDescent="0.2">
      <c r="A333" s="68" t="s">
        <v>646</v>
      </c>
      <c r="B333" s="3" t="s">
        <v>16</v>
      </c>
      <c r="C333" s="16" t="s">
        <v>73</v>
      </c>
      <c r="D333" s="15" t="s">
        <v>34</v>
      </c>
      <c r="E333" s="50">
        <f>2.22-1.12</f>
        <v>1.1000000000000001</v>
      </c>
    </row>
    <row r="334" spans="1:5" ht="28.5" x14ac:dyDescent="0.2">
      <c r="A334" s="68" t="s">
        <v>646</v>
      </c>
      <c r="B334" s="3" t="s">
        <v>16</v>
      </c>
      <c r="C334" s="16" t="s">
        <v>73</v>
      </c>
      <c r="D334" s="15" t="s">
        <v>570</v>
      </c>
      <c r="E334" s="50">
        <f>1.12-0.372-0.154-0.048-0.002</f>
        <v>0.54400000000000004</v>
      </c>
    </row>
    <row r="335" spans="1:5" ht="28.5" x14ac:dyDescent="0.2">
      <c r="A335" s="68" t="s">
        <v>646</v>
      </c>
      <c r="B335" s="3" t="s">
        <v>16</v>
      </c>
      <c r="C335" s="16" t="s">
        <v>73</v>
      </c>
      <c r="D335" s="15" t="s">
        <v>596</v>
      </c>
      <c r="E335" s="51">
        <f>4.22-1.406-1.408-0.094-0.002-0.4-0.284-0.356-0.052</f>
        <v>0.21800000000000014</v>
      </c>
    </row>
    <row r="336" spans="1:5" ht="28.5" x14ac:dyDescent="0.2">
      <c r="A336" s="68" t="s">
        <v>646</v>
      </c>
      <c r="B336" s="3" t="s">
        <v>16</v>
      </c>
      <c r="C336" s="16" t="s">
        <v>73</v>
      </c>
      <c r="D336" s="15" t="s">
        <v>40</v>
      </c>
      <c r="E336" s="51">
        <f>4.24-2.82</f>
        <v>1.4200000000000004</v>
      </c>
    </row>
    <row r="337" spans="1:5" ht="28.5" x14ac:dyDescent="0.2">
      <c r="A337" s="68" t="s">
        <v>646</v>
      </c>
      <c r="B337" s="3" t="s">
        <v>16</v>
      </c>
      <c r="C337" s="16" t="s">
        <v>73</v>
      </c>
      <c r="D337" s="15" t="s">
        <v>40</v>
      </c>
      <c r="E337" s="51">
        <f>4.19</f>
        <v>4.1900000000000004</v>
      </c>
    </row>
    <row r="338" spans="1:5" ht="28.5" x14ac:dyDescent="0.2">
      <c r="A338" s="68" t="s">
        <v>646</v>
      </c>
      <c r="B338" s="3" t="s">
        <v>16</v>
      </c>
      <c r="C338" s="16" t="s">
        <v>73</v>
      </c>
      <c r="D338" s="16" t="s">
        <v>84</v>
      </c>
      <c r="E338" s="50">
        <f>3.4-1.692</f>
        <v>1.708</v>
      </c>
    </row>
    <row r="339" spans="1:5" ht="28.5" x14ac:dyDescent="0.2">
      <c r="A339" s="68" t="s">
        <v>646</v>
      </c>
      <c r="B339" s="3" t="s">
        <v>16</v>
      </c>
      <c r="C339" s="16" t="s">
        <v>73</v>
      </c>
      <c r="D339" s="16" t="s">
        <v>585</v>
      </c>
      <c r="E339" s="50">
        <f>1.692-0.152-0.106-0.212-0.046-0.004-0.152</f>
        <v>1.02</v>
      </c>
    </row>
    <row r="340" spans="1:5" ht="28.5" x14ac:dyDescent="0.2">
      <c r="A340" s="68" t="s">
        <v>646</v>
      </c>
      <c r="B340" s="3" t="s">
        <v>16</v>
      </c>
      <c r="C340" s="16" t="s">
        <v>73</v>
      </c>
      <c r="D340" s="16" t="s">
        <v>84</v>
      </c>
      <c r="E340" s="50">
        <f>1.69</f>
        <v>1.69</v>
      </c>
    </row>
    <row r="341" spans="1:5" ht="28.5" x14ac:dyDescent="0.2">
      <c r="A341" s="68" t="s">
        <v>646</v>
      </c>
      <c r="B341" s="3" t="s">
        <v>16</v>
      </c>
      <c r="C341" s="16" t="s">
        <v>73</v>
      </c>
      <c r="D341" s="15" t="s">
        <v>90</v>
      </c>
      <c r="E341" s="50">
        <f>15.17-1.692-1.65-1.688-1.662-1.7-1.7-1.68</f>
        <v>3.3979999999999979</v>
      </c>
    </row>
    <row r="342" spans="1:5" ht="28.5" x14ac:dyDescent="0.2">
      <c r="A342" s="68" t="s">
        <v>646</v>
      </c>
      <c r="B342" s="3" t="s">
        <v>16</v>
      </c>
      <c r="C342" s="16" t="s">
        <v>73</v>
      </c>
      <c r="D342" s="15" t="s">
        <v>597</v>
      </c>
      <c r="E342" s="50">
        <f>1.662-0.148-0.444-0.002-0.302</f>
        <v>0.76600000000000001</v>
      </c>
    </row>
    <row r="343" spans="1:5" ht="28.5" x14ac:dyDescent="0.2">
      <c r="A343" s="68" t="s">
        <v>646</v>
      </c>
      <c r="B343" s="1" t="s">
        <v>16</v>
      </c>
      <c r="C343" s="16" t="s">
        <v>73</v>
      </c>
      <c r="D343" s="6" t="s">
        <v>439</v>
      </c>
      <c r="E343" s="57">
        <f>1.718-0.228-0.194-1.13-0.004</f>
        <v>0.16200000000000014</v>
      </c>
    </row>
    <row r="344" spans="1:5" ht="28.5" x14ac:dyDescent="0.2">
      <c r="A344" s="68" t="s">
        <v>646</v>
      </c>
      <c r="B344" s="1" t="s">
        <v>16</v>
      </c>
      <c r="C344" s="16" t="s">
        <v>73</v>
      </c>
      <c r="D344" s="6" t="s">
        <v>598</v>
      </c>
      <c r="E344" s="57">
        <f>1.698-0.192-0.186-0.232-0.002-0.18-0.006-0.356</f>
        <v>0.54400000000000015</v>
      </c>
    </row>
    <row r="345" spans="1:5" ht="28.5" x14ac:dyDescent="0.2">
      <c r="A345" s="68" t="s">
        <v>646</v>
      </c>
      <c r="B345" s="1" t="s">
        <v>16</v>
      </c>
      <c r="C345" s="16" t="s">
        <v>73</v>
      </c>
      <c r="D345" s="6" t="s">
        <v>86</v>
      </c>
      <c r="E345" s="57">
        <f>6.81</f>
        <v>6.81</v>
      </c>
    </row>
    <row r="346" spans="1:5" ht="28.5" x14ac:dyDescent="0.2">
      <c r="A346" s="68" t="s">
        <v>646</v>
      </c>
      <c r="B346" s="1" t="s">
        <v>16</v>
      </c>
      <c r="C346" s="16" t="s">
        <v>73</v>
      </c>
      <c r="D346" s="16" t="s">
        <v>302</v>
      </c>
      <c r="E346" s="47">
        <f>1.833-0.135-1.182+0.002-0.24-0.005</f>
        <v>0.27300000000000002</v>
      </c>
    </row>
    <row r="347" spans="1:5" ht="28.5" x14ac:dyDescent="0.2">
      <c r="A347" s="68" t="s">
        <v>646</v>
      </c>
      <c r="B347" s="1" t="s">
        <v>16</v>
      </c>
      <c r="C347" s="3" t="s">
        <v>73</v>
      </c>
      <c r="D347" s="16" t="s">
        <v>351</v>
      </c>
      <c r="E347" s="47">
        <f>7.38-3.712-1.85-0.59+0.002-0.122-0.003-0.938+0.001</f>
        <v>0.16799999999999982</v>
      </c>
    </row>
    <row r="348" spans="1:5" ht="28.5" x14ac:dyDescent="0.2">
      <c r="A348" s="68" t="s">
        <v>646</v>
      </c>
      <c r="B348" s="1" t="s">
        <v>16</v>
      </c>
      <c r="C348" s="3" t="s">
        <v>73</v>
      </c>
      <c r="D348" s="16" t="s">
        <v>91</v>
      </c>
      <c r="E348" s="47">
        <f>16.95-1.87-1.872-1.898-3.744</f>
        <v>7.5659999999999989</v>
      </c>
    </row>
    <row r="349" spans="1:5" ht="28.5" x14ac:dyDescent="0.2">
      <c r="A349" s="68" t="s">
        <v>646</v>
      </c>
      <c r="B349" s="1" t="s">
        <v>16</v>
      </c>
      <c r="C349" s="3" t="s">
        <v>73</v>
      </c>
      <c r="D349" s="16" t="s">
        <v>486</v>
      </c>
      <c r="E349" s="47">
        <f>1.87-0.7-0.23-0.036-0.706</f>
        <v>0.19800000000000018</v>
      </c>
    </row>
    <row r="350" spans="1:5" ht="28.5" x14ac:dyDescent="0.2">
      <c r="A350" s="68" t="s">
        <v>646</v>
      </c>
      <c r="B350" s="1" t="s">
        <v>16</v>
      </c>
      <c r="C350" s="3" t="s">
        <v>73</v>
      </c>
      <c r="D350" s="16" t="s">
        <v>233</v>
      </c>
      <c r="E350" s="47">
        <f>1.898-1.434-0.2-0.004</f>
        <v>0.25999999999999995</v>
      </c>
    </row>
    <row r="351" spans="1:5" ht="28.5" x14ac:dyDescent="0.2">
      <c r="A351" s="68" t="s">
        <v>646</v>
      </c>
      <c r="B351" s="1" t="s">
        <v>16</v>
      </c>
      <c r="C351" s="3" t="s">
        <v>73</v>
      </c>
      <c r="D351" s="16" t="s">
        <v>91</v>
      </c>
      <c r="E351" s="47">
        <f>11.12</f>
        <v>11.12</v>
      </c>
    </row>
    <row r="352" spans="1:5" ht="28.5" x14ac:dyDescent="0.2">
      <c r="A352" s="68" t="s">
        <v>646</v>
      </c>
      <c r="B352" s="3" t="s">
        <v>16</v>
      </c>
      <c r="C352" s="16" t="s">
        <v>73</v>
      </c>
      <c r="D352" s="20" t="s">
        <v>304</v>
      </c>
      <c r="E352" s="51">
        <f>1.832-0.83-0.774-0.008</f>
        <v>0.2200000000000002</v>
      </c>
    </row>
    <row r="353" spans="1:5" ht="28.5" x14ac:dyDescent="0.2">
      <c r="A353" s="68" t="s">
        <v>646</v>
      </c>
      <c r="B353" s="3" t="s">
        <v>16</v>
      </c>
      <c r="C353" s="16" t="s">
        <v>73</v>
      </c>
      <c r="D353" s="20" t="s">
        <v>512</v>
      </c>
      <c r="E353" s="51">
        <f>9.44-1.854-1.855-1.875-1.854-0.454-0.16-0.242+0.002-0.276-0.034</f>
        <v>0.83799999999999986</v>
      </c>
    </row>
    <row r="354" spans="1:5" ht="28.5" x14ac:dyDescent="0.2">
      <c r="A354" s="68" t="s">
        <v>646</v>
      </c>
      <c r="B354" s="3" t="s">
        <v>16</v>
      </c>
      <c r="C354" s="16" t="s">
        <v>73</v>
      </c>
      <c r="D354" s="20" t="s">
        <v>599</v>
      </c>
      <c r="E354" s="51">
        <f>1.88-0.646-0.01-0.55</f>
        <v>0.67399999999999993</v>
      </c>
    </row>
    <row r="355" spans="1:5" ht="28.5" x14ac:dyDescent="0.2">
      <c r="A355" s="68" t="s">
        <v>646</v>
      </c>
      <c r="B355" s="3" t="s">
        <v>16</v>
      </c>
      <c r="C355" s="16" t="s">
        <v>73</v>
      </c>
      <c r="D355" s="20" t="s">
        <v>88</v>
      </c>
      <c r="E355" s="51">
        <f>1.76</f>
        <v>1.76</v>
      </c>
    </row>
    <row r="356" spans="1:5" ht="28.5" x14ac:dyDescent="0.2">
      <c r="A356" s="68" t="s">
        <v>646</v>
      </c>
      <c r="B356" s="3" t="s">
        <v>16</v>
      </c>
      <c r="C356" s="16" t="s">
        <v>73</v>
      </c>
      <c r="D356" s="20" t="s">
        <v>88</v>
      </c>
      <c r="E356" s="51">
        <f>3.7</f>
        <v>3.7</v>
      </c>
    </row>
    <row r="357" spans="1:5" ht="28.5" x14ac:dyDescent="0.2">
      <c r="A357" s="68" t="s">
        <v>646</v>
      </c>
      <c r="B357" s="3" t="s">
        <v>16</v>
      </c>
      <c r="C357" s="16" t="s">
        <v>73</v>
      </c>
      <c r="D357" s="20" t="s">
        <v>95</v>
      </c>
      <c r="E357" s="50">
        <f>7.36-1.86</f>
        <v>5.5</v>
      </c>
    </row>
    <row r="358" spans="1:5" ht="28.5" x14ac:dyDescent="0.2">
      <c r="A358" s="68" t="s">
        <v>646</v>
      </c>
      <c r="B358" s="3" t="s">
        <v>16</v>
      </c>
      <c r="C358" s="16" t="s">
        <v>73</v>
      </c>
      <c r="D358" s="20" t="s">
        <v>465</v>
      </c>
      <c r="E358" s="51">
        <f>1.82-0.8-0.256-0.004</f>
        <v>0.76</v>
      </c>
    </row>
    <row r="359" spans="1:5" ht="28.5" x14ac:dyDescent="0.2">
      <c r="A359" s="68" t="s">
        <v>646</v>
      </c>
      <c r="B359" s="64" t="s">
        <v>16</v>
      </c>
      <c r="C359" s="16" t="s">
        <v>73</v>
      </c>
      <c r="D359" s="16" t="s">
        <v>168</v>
      </c>
      <c r="E359" s="47">
        <f>5.53-1.855-1.84</f>
        <v>1.8350000000000002</v>
      </c>
    </row>
    <row r="360" spans="1:5" ht="28.5" x14ac:dyDescent="0.2">
      <c r="A360" s="68" t="s">
        <v>646</v>
      </c>
      <c r="B360" s="3" t="s">
        <v>21</v>
      </c>
      <c r="C360" s="16" t="s">
        <v>73</v>
      </c>
      <c r="D360" s="20" t="s">
        <v>55</v>
      </c>
      <c r="E360" s="50">
        <f>4.13-0.84-0.416-0.42-0.414</f>
        <v>2.04</v>
      </c>
    </row>
    <row r="361" spans="1:5" ht="28.5" x14ac:dyDescent="0.2">
      <c r="A361" s="68" t="s">
        <v>646</v>
      </c>
      <c r="B361" s="3" t="s">
        <v>21</v>
      </c>
      <c r="C361" s="16" t="s">
        <v>73</v>
      </c>
      <c r="D361" s="20" t="s">
        <v>524</v>
      </c>
      <c r="E361" s="50">
        <f>0.416-0.14-0.07-0.104</f>
        <v>0.10199999999999997</v>
      </c>
    </row>
    <row r="362" spans="1:5" ht="28.5" x14ac:dyDescent="0.2">
      <c r="A362" s="68" t="s">
        <v>646</v>
      </c>
      <c r="B362" s="3" t="s">
        <v>21</v>
      </c>
      <c r="C362" s="16" t="s">
        <v>73</v>
      </c>
      <c r="D362" s="20" t="s">
        <v>546</v>
      </c>
      <c r="E362" s="50">
        <f>0.414-0.172</f>
        <v>0.24199999999999999</v>
      </c>
    </row>
    <row r="363" spans="1:5" ht="28.5" x14ac:dyDescent="0.2">
      <c r="A363" s="68" t="s">
        <v>646</v>
      </c>
      <c r="B363" s="3" t="s">
        <v>21</v>
      </c>
      <c r="C363" s="16" t="s">
        <v>73</v>
      </c>
      <c r="D363" s="20" t="s">
        <v>27</v>
      </c>
      <c r="E363" s="50">
        <f>4.44-0.54-1.115-0.57-0.556</f>
        <v>1.6590000000000003</v>
      </c>
    </row>
    <row r="364" spans="1:5" ht="28.5" x14ac:dyDescent="0.2">
      <c r="A364" s="68" t="s">
        <v>646</v>
      </c>
      <c r="B364" s="3" t="s">
        <v>21</v>
      </c>
      <c r="C364" s="16" t="s">
        <v>73</v>
      </c>
      <c r="D364" s="20" t="s">
        <v>513</v>
      </c>
      <c r="E364" s="50">
        <f>0.57-0.14-0.012-0.102</f>
        <v>0.31599999999999995</v>
      </c>
    </row>
    <row r="365" spans="1:5" ht="28.5" x14ac:dyDescent="0.2">
      <c r="A365" s="68" t="s">
        <v>646</v>
      </c>
      <c r="B365" s="3" t="s">
        <v>21</v>
      </c>
      <c r="C365" s="16" t="s">
        <v>73</v>
      </c>
      <c r="D365" s="15" t="s">
        <v>551</v>
      </c>
      <c r="E365" s="50">
        <f>4.26-1.71-0.854-0.842-0.058+0.004</f>
        <v>0.79999999999999971</v>
      </c>
    </row>
    <row r="366" spans="1:5" ht="28.5" x14ac:dyDescent="0.2">
      <c r="A366" s="68" t="s">
        <v>646</v>
      </c>
      <c r="B366" s="3" t="s">
        <v>21</v>
      </c>
      <c r="C366" s="16" t="s">
        <v>73</v>
      </c>
      <c r="D366" s="15" t="s">
        <v>349</v>
      </c>
      <c r="E366" s="51">
        <f>1.404-0.178-0.072-0.062-0.518-0.002-0.339-0.003-0.026-0.024</f>
        <v>0.17999999999999983</v>
      </c>
    </row>
    <row r="367" spans="1:5" ht="28.5" x14ac:dyDescent="0.2">
      <c r="A367" s="68" t="s">
        <v>646</v>
      </c>
      <c r="B367" s="3" t="s">
        <v>21</v>
      </c>
      <c r="C367" s="16" t="s">
        <v>73</v>
      </c>
      <c r="D367" s="15" t="s">
        <v>40</v>
      </c>
      <c r="E367" s="51">
        <f>4.27-1.416</f>
        <v>2.8539999999999996</v>
      </c>
    </row>
    <row r="368" spans="1:5" ht="28.5" x14ac:dyDescent="0.2">
      <c r="A368" s="68" t="s">
        <v>646</v>
      </c>
      <c r="B368" s="3" t="s">
        <v>21</v>
      </c>
      <c r="C368" s="16" t="s">
        <v>73</v>
      </c>
      <c r="D368" s="15" t="s">
        <v>451</v>
      </c>
      <c r="E368" s="51">
        <f>1.416-0.356-0.274+0.004</f>
        <v>0.79</v>
      </c>
    </row>
    <row r="369" spans="1:5" ht="28.5" x14ac:dyDescent="0.2">
      <c r="A369" s="68" t="s">
        <v>646</v>
      </c>
      <c r="B369" s="3" t="s">
        <v>21</v>
      </c>
      <c r="C369" s="16" t="s">
        <v>73</v>
      </c>
      <c r="D369" s="16" t="s">
        <v>84</v>
      </c>
      <c r="E369" s="51">
        <f>5.1-1.69</f>
        <v>3.4099999999999997</v>
      </c>
    </row>
    <row r="370" spans="1:5" ht="28.5" x14ac:dyDescent="0.2">
      <c r="A370" s="68" t="s">
        <v>646</v>
      </c>
      <c r="B370" s="3" t="s">
        <v>21</v>
      </c>
      <c r="C370" s="16" t="s">
        <v>73</v>
      </c>
      <c r="D370" s="15" t="s">
        <v>287</v>
      </c>
      <c r="E370" s="51">
        <f>4.78-1.595</f>
        <v>3.1850000000000005</v>
      </c>
    </row>
    <row r="371" spans="1:5" ht="28.5" x14ac:dyDescent="0.2">
      <c r="A371" s="68" t="s">
        <v>646</v>
      </c>
      <c r="B371" s="3" t="s">
        <v>21</v>
      </c>
      <c r="C371" s="16" t="s">
        <v>73</v>
      </c>
      <c r="D371" s="6" t="s">
        <v>86</v>
      </c>
      <c r="E371" s="50">
        <f>5.21-1.748-1.724</f>
        <v>1.7379999999999998</v>
      </c>
    </row>
    <row r="372" spans="1:5" ht="28.5" x14ac:dyDescent="0.2">
      <c r="A372" s="68" t="s">
        <v>646</v>
      </c>
      <c r="B372" s="3" t="s">
        <v>21</v>
      </c>
      <c r="C372" s="16" t="s">
        <v>73</v>
      </c>
      <c r="D372" s="6" t="s">
        <v>455</v>
      </c>
      <c r="E372" s="50">
        <f>1.748-0.678-0.078-0.002-0.274-0.004-0.226</f>
        <v>0.48599999999999988</v>
      </c>
    </row>
    <row r="373" spans="1:5" ht="28.5" x14ac:dyDescent="0.2">
      <c r="A373" s="68" t="s">
        <v>646</v>
      </c>
      <c r="B373" s="3" t="s">
        <v>21</v>
      </c>
      <c r="C373" s="16" t="s">
        <v>73</v>
      </c>
      <c r="D373" s="6" t="s">
        <v>507</v>
      </c>
      <c r="E373" s="50">
        <f>1.724-1.128</f>
        <v>0.59600000000000009</v>
      </c>
    </row>
    <row r="374" spans="1:5" ht="28.5" x14ac:dyDescent="0.2">
      <c r="A374" s="68" t="s">
        <v>646</v>
      </c>
      <c r="B374" s="3" t="s">
        <v>21</v>
      </c>
      <c r="C374" s="16" t="s">
        <v>73</v>
      </c>
      <c r="D374" s="16" t="s">
        <v>159</v>
      </c>
      <c r="E374" s="51">
        <f>1.82-0.48-0.978-0.01-0.242-0.002</f>
        <v>0.1080000000000001</v>
      </c>
    </row>
    <row r="375" spans="1:5" ht="28.5" x14ac:dyDescent="0.2">
      <c r="A375" s="68" t="s">
        <v>646</v>
      </c>
      <c r="B375" s="3" t="s">
        <v>21</v>
      </c>
      <c r="C375" s="16" t="s">
        <v>73</v>
      </c>
      <c r="D375" s="15" t="s">
        <v>88</v>
      </c>
      <c r="E375" s="51">
        <f>5.65-1.876</f>
        <v>3.7740000000000005</v>
      </c>
    </row>
    <row r="376" spans="1:5" ht="28.5" x14ac:dyDescent="0.2">
      <c r="A376" s="68" t="s">
        <v>646</v>
      </c>
      <c r="B376" s="3" t="s">
        <v>21</v>
      </c>
      <c r="C376" s="16" t="s">
        <v>73</v>
      </c>
      <c r="D376" s="15" t="s">
        <v>492</v>
      </c>
      <c r="E376" s="51">
        <f>1.876-0.27-0.562-0.008-0.286</f>
        <v>0.74999999999999978</v>
      </c>
    </row>
    <row r="377" spans="1:5" ht="28.5" x14ac:dyDescent="0.2">
      <c r="A377" s="68" t="s">
        <v>646</v>
      </c>
      <c r="B377" s="64" t="s">
        <v>21</v>
      </c>
      <c r="C377" s="16" t="s">
        <v>73</v>
      </c>
      <c r="D377" s="16" t="s">
        <v>95</v>
      </c>
      <c r="E377" s="52">
        <f>5.66-1.89-1.914</f>
        <v>1.8560000000000005</v>
      </c>
    </row>
    <row r="378" spans="1:5" ht="28.5" x14ac:dyDescent="0.2">
      <c r="A378" s="68" t="s">
        <v>646</v>
      </c>
      <c r="B378" s="3" t="s">
        <v>15</v>
      </c>
      <c r="C378" s="14" t="s">
        <v>167</v>
      </c>
      <c r="D378" s="25" t="s">
        <v>7</v>
      </c>
      <c r="E378" s="44">
        <f>3.946-2.014-0.032-0.316-0.031-0.032-0.032-0.032-0.032-0.512-0.032</f>
        <v>0.88100000000000023</v>
      </c>
    </row>
    <row r="379" spans="1:5" ht="28.5" x14ac:dyDescent="0.2">
      <c r="A379" s="68" t="s">
        <v>646</v>
      </c>
      <c r="B379" s="3" t="s">
        <v>15</v>
      </c>
      <c r="C379" s="14" t="s">
        <v>310</v>
      </c>
      <c r="D379" s="25" t="s">
        <v>7</v>
      </c>
      <c r="E379" s="44">
        <f>2.072</f>
        <v>2.0720000000000001</v>
      </c>
    </row>
    <row r="380" spans="1:5" ht="28.5" x14ac:dyDescent="0.2">
      <c r="A380" s="68" t="s">
        <v>646</v>
      </c>
      <c r="B380" s="3" t="s">
        <v>15</v>
      </c>
      <c r="C380" s="14" t="s">
        <v>310</v>
      </c>
      <c r="D380" s="25" t="s">
        <v>8</v>
      </c>
      <c r="E380" s="44">
        <f>2.068-0.046-0.142-0.574-0.048-0.048-0.048-0.048-0.048-0.096</f>
        <v>0.97000000000000031</v>
      </c>
    </row>
    <row r="381" spans="1:5" ht="28.5" x14ac:dyDescent="0.2">
      <c r="A381" s="68" t="s">
        <v>646</v>
      </c>
      <c r="B381" s="3" t="s">
        <v>15</v>
      </c>
      <c r="C381" s="14" t="s">
        <v>167</v>
      </c>
      <c r="D381" s="26" t="s">
        <v>600</v>
      </c>
      <c r="E381" s="43">
        <f>0.23-0.058-0.062-0.058-0.015</f>
        <v>3.7000000000000012E-2</v>
      </c>
    </row>
    <row r="382" spans="1:5" ht="28.5" x14ac:dyDescent="0.2">
      <c r="A382" s="68" t="s">
        <v>646</v>
      </c>
      <c r="B382" s="3" t="s">
        <v>15</v>
      </c>
      <c r="C382" s="14" t="s">
        <v>310</v>
      </c>
      <c r="D382" s="25" t="s">
        <v>9</v>
      </c>
      <c r="E382" s="44">
        <f>4.514-0.498-1-0.566-0.189-0.126-0.062-0.626-0.062-0.126-0.062-0.064-0.062-0.19-0.062-0.064-0.064-0.062-0.434-0.064</f>
        <v>0.13100000000000001</v>
      </c>
    </row>
    <row r="383" spans="1:5" ht="28.5" x14ac:dyDescent="0.2">
      <c r="A383" s="68" t="s">
        <v>646</v>
      </c>
      <c r="B383" s="3" t="s">
        <v>15</v>
      </c>
      <c r="C383" s="14" t="s">
        <v>494</v>
      </c>
      <c r="D383" s="25" t="s">
        <v>9</v>
      </c>
      <c r="E383" s="44">
        <f>2.2</f>
        <v>2.2000000000000002</v>
      </c>
    </row>
    <row r="384" spans="1:5" ht="28.5" x14ac:dyDescent="0.2">
      <c r="A384" s="68" t="s">
        <v>646</v>
      </c>
      <c r="B384" s="3" t="s">
        <v>15</v>
      </c>
      <c r="C384" s="16" t="s">
        <v>72</v>
      </c>
      <c r="D384" s="33" t="s">
        <v>66</v>
      </c>
      <c r="E384" s="48">
        <f>2.11-0.35-0.351-0.348</f>
        <v>1.0609999999999999</v>
      </c>
    </row>
    <row r="385" spans="1:5" ht="28.5" x14ac:dyDescent="0.2">
      <c r="A385" s="68" t="s">
        <v>646</v>
      </c>
      <c r="B385" s="3" t="s">
        <v>15</v>
      </c>
      <c r="C385" s="16" t="s">
        <v>72</v>
      </c>
      <c r="D385" s="33" t="s">
        <v>568</v>
      </c>
      <c r="E385" s="48">
        <f>0.348-0.058</f>
        <v>0.28999999999999998</v>
      </c>
    </row>
    <row r="386" spans="1:5" ht="28.5" x14ac:dyDescent="0.2">
      <c r="A386" s="68" t="s">
        <v>646</v>
      </c>
      <c r="B386" s="3" t="s">
        <v>15</v>
      </c>
      <c r="C386" s="16" t="s">
        <v>354</v>
      </c>
      <c r="D386" s="33" t="s">
        <v>105</v>
      </c>
      <c r="E386" s="48">
        <f>2.15</f>
        <v>2.15</v>
      </c>
    </row>
    <row r="387" spans="1:5" ht="28.5" x14ac:dyDescent="0.2">
      <c r="A387" s="68" t="s">
        <v>646</v>
      </c>
      <c r="B387" s="3" t="s">
        <v>15</v>
      </c>
      <c r="C387" s="16" t="s">
        <v>72</v>
      </c>
      <c r="D387" s="19" t="s">
        <v>55</v>
      </c>
      <c r="E387" s="48">
        <f>2.12-0.405-0.424-1.272</f>
        <v>1.9000000000000128E-2</v>
      </c>
    </row>
    <row r="388" spans="1:5" ht="28.5" x14ac:dyDescent="0.2">
      <c r="A388" s="68" t="s">
        <v>646</v>
      </c>
      <c r="B388" s="3" t="s">
        <v>15</v>
      </c>
      <c r="C388" s="16" t="s">
        <v>354</v>
      </c>
      <c r="D388" s="19" t="s">
        <v>55</v>
      </c>
      <c r="E388" s="46">
        <f>2.01-0.394-0.39-0.39</f>
        <v>0.83599999999999952</v>
      </c>
    </row>
    <row r="389" spans="1:5" ht="28.5" x14ac:dyDescent="0.2">
      <c r="A389" s="68" t="s">
        <v>646</v>
      </c>
      <c r="B389" s="3" t="s">
        <v>15</v>
      </c>
      <c r="C389" s="16" t="s">
        <v>354</v>
      </c>
      <c r="D389" s="19" t="s">
        <v>566</v>
      </c>
      <c r="E389" s="46">
        <f>0.39-0.196-0.066</f>
        <v>0.128</v>
      </c>
    </row>
    <row r="390" spans="1:5" ht="28.5" x14ac:dyDescent="0.2">
      <c r="A390" s="68" t="s">
        <v>646</v>
      </c>
      <c r="B390" s="3" t="s">
        <v>15</v>
      </c>
      <c r="C390" s="16" t="s">
        <v>354</v>
      </c>
      <c r="D390" s="19" t="s">
        <v>601</v>
      </c>
      <c r="E390" s="46">
        <f>0.39-0.03</f>
        <v>0.36</v>
      </c>
    </row>
    <row r="391" spans="1:5" ht="28.5" x14ac:dyDescent="0.2">
      <c r="A391" s="68" t="s">
        <v>646</v>
      </c>
      <c r="B391" s="6" t="s">
        <v>15</v>
      </c>
      <c r="C391" s="16" t="s">
        <v>72</v>
      </c>
      <c r="D391" s="15" t="s">
        <v>555</v>
      </c>
      <c r="E391" s="46">
        <f>4.42-0.556-0.532-0.556-0.558-0.558-0.552-0.558-0.186+0.004-0.057-0.025-0.048+0.002-0.142-0.024-0.026</f>
        <v>4.7999999999999848E-2</v>
      </c>
    </row>
    <row r="392" spans="1:5" ht="28.5" x14ac:dyDescent="0.2">
      <c r="A392" s="68" t="s">
        <v>646</v>
      </c>
      <c r="B392" s="6" t="s">
        <v>15</v>
      </c>
      <c r="C392" s="16" t="s">
        <v>72</v>
      </c>
      <c r="D392" s="15" t="s">
        <v>27</v>
      </c>
      <c r="E392" s="46">
        <f>3.93-1.132-0.556-1.118-0.559</f>
        <v>0.56499999999999984</v>
      </c>
    </row>
    <row r="393" spans="1:5" ht="28.5" x14ac:dyDescent="0.2">
      <c r="A393" s="68" t="s">
        <v>646</v>
      </c>
      <c r="B393" s="6" t="s">
        <v>15</v>
      </c>
      <c r="C393" s="6" t="s">
        <v>352</v>
      </c>
      <c r="D393" s="15" t="s">
        <v>262</v>
      </c>
      <c r="E393" s="46">
        <f>1.45-0.948</f>
        <v>0.502</v>
      </c>
    </row>
    <row r="394" spans="1:5" ht="28.5" x14ac:dyDescent="0.2">
      <c r="A394" s="68" t="s">
        <v>646</v>
      </c>
      <c r="B394" s="6" t="s">
        <v>15</v>
      </c>
      <c r="C394" s="16" t="s">
        <v>354</v>
      </c>
      <c r="D394" s="15" t="s">
        <v>27</v>
      </c>
      <c r="E394" s="46">
        <f>4.46-1.11-0.558-1.682-0.566</f>
        <v>0.54399999999999993</v>
      </c>
    </row>
    <row r="395" spans="1:5" ht="28.5" x14ac:dyDescent="0.2">
      <c r="A395" s="68" t="s">
        <v>646</v>
      </c>
      <c r="B395" s="6" t="s">
        <v>15</v>
      </c>
      <c r="C395" s="16" t="s">
        <v>354</v>
      </c>
      <c r="D395" s="15" t="s">
        <v>467</v>
      </c>
      <c r="E395" s="46">
        <f>0.554-0.116</f>
        <v>0.43800000000000006</v>
      </c>
    </row>
    <row r="396" spans="1:5" ht="28.5" x14ac:dyDescent="0.2">
      <c r="A396" s="68" t="s">
        <v>646</v>
      </c>
      <c r="B396" s="6" t="s">
        <v>15</v>
      </c>
      <c r="C396" s="16" t="s">
        <v>354</v>
      </c>
      <c r="D396" s="15" t="s">
        <v>528</v>
      </c>
      <c r="E396" s="46">
        <f>1.682-1.402-0.096+0.002-0.066</f>
        <v>0.12000000000000002</v>
      </c>
    </row>
    <row r="397" spans="1:5" ht="28.5" x14ac:dyDescent="0.2">
      <c r="A397" s="68" t="s">
        <v>646</v>
      </c>
      <c r="B397" s="6" t="s">
        <v>15</v>
      </c>
      <c r="C397" s="6" t="s">
        <v>352</v>
      </c>
      <c r="D397" s="15" t="s">
        <v>53</v>
      </c>
      <c r="E397" s="46">
        <f>1.655-0.825</f>
        <v>0.83000000000000007</v>
      </c>
    </row>
    <row r="398" spans="1:5" ht="28.5" x14ac:dyDescent="0.2">
      <c r="A398" s="68" t="s">
        <v>646</v>
      </c>
      <c r="B398" s="6" t="s">
        <v>15</v>
      </c>
      <c r="C398" s="6" t="s">
        <v>352</v>
      </c>
      <c r="D398" s="15" t="s">
        <v>602</v>
      </c>
      <c r="E398" s="48">
        <f>4.945-0.82-1.636-0.83-0.826-0.15-0.011-0.43</f>
        <v>0.24199999999999983</v>
      </c>
    </row>
    <row r="399" spans="1:5" ht="28.5" x14ac:dyDescent="0.2">
      <c r="A399" s="68" t="s">
        <v>646</v>
      </c>
      <c r="B399" s="6" t="s">
        <v>15</v>
      </c>
      <c r="C399" s="16" t="s">
        <v>354</v>
      </c>
      <c r="D399" s="15" t="s">
        <v>416</v>
      </c>
      <c r="E399" s="48">
        <f>0.833-0.092-0.13-0.112-0.212-0.001-0.182</f>
        <v>0.10400000000000004</v>
      </c>
    </row>
    <row r="400" spans="1:5" ht="28.5" x14ac:dyDescent="0.2">
      <c r="A400" s="68" t="s">
        <v>646</v>
      </c>
      <c r="B400" s="6" t="s">
        <v>15</v>
      </c>
      <c r="C400" s="16" t="s">
        <v>354</v>
      </c>
      <c r="D400" s="15" t="s">
        <v>557</v>
      </c>
      <c r="E400" s="48">
        <f>4.07-2.464-0.818-0.352+0.01</f>
        <v>0.4460000000000004</v>
      </c>
    </row>
    <row r="401" spans="1:5" ht="28.5" x14ac:dyDescent="0.2">
      <c r="A401" s="68" t="s">
        <v>646</v>
      </c>
      <c r="B401" s="6" t="s">
        <v>15</v>
      </c>
      <c r="C401" s="16" t="s">
        <v>354</v>
      </c>
      <c r="D401" s="15" t="s">
        <v>53</v>
      </c>
      <c r="E401" s="48">
        <f>4.13-0.814-0.826-0.85</f>
        <v>1.6399999999999997</v>
      </c>
    </row>
    <row r="402" spans="1:5" ht="28.5" x14ac:dyDescent="0.2">
      <c r="A402" s="68" t="s">
        <v>646</v>
      </c>
      <c r="B402" s="6" t="s">
        <v>15</v>
      </c>
      <c r="C402" s="16" t="s">
        <v>72</v>
      </c>
      <c r="D402" s="15" t="s">
        <v>315</v>
      </c>
      <c r="E402" s="48">
        <f>0.962-0.162-0.198-0.002-0.082-0.319-0.082-0.048-0.007</f>
        <v>6.1999999999999895E-2</v>
      </c>
    </row>
    <row r="403" spans="1:5" ht="28.5" x14ac:dyDescent="0.2">
      <c r="A403" s="68" t="s">
        <v>646</v>
      </c>
      <c r="B403" s="6" t="s">
        <v>15</v>
      </c>
      <c r="C403" s="16" t="s">
        <v>72</v>
      </c>
      <c r="D403" s="15" t="s">
        <v>359</v>
      </c>
      <c r="E403" s="48">
        <f>1.91-0.96-0.482+0.012-0.32-0.082</f>
        <v>7.7999999999999972E-2</v>
      </c>
    </row>
    <row r="404" spans="1:5" ht="28.5" x14ac:dyDescent="0.2">
      <c r="A404" s="68" t="s">
        <v>646</v>
      </c>
      <c r="B404" s="6" t="s">
        <v>15</v>
      </c>
      <c r="C404" s="16" t="s">
        <v>354</v>
      </c>
      <c r="D404" s="15" t="s">
        <v>76</v>
      </c>
      <c r="E404" s="46">
        <f>3.9-0.97-0.985</f>
        <v>1.9449999999999998</v>
      </c>
    </row>
    <row r="405" spans="1:5" ht="28.5" x14ac:dyDescent="0.2">
      <c r="A405" s="68" t="s">
        <v>646</v>
      </c>
      <c r="B405" s="16" t="s">
        <v>15</v>
      </c>
      <c r="C405" s="16" t="s">
        <v>354</v>
      </c>
      <c r="D405" s="20" t="s">
        <v>556</v>
      </c>
      <c r="E405" s="46">
        <f>0.97-0.08-0.09-0.154-0.002</f>
        <v>0.64400000000000002</v>
      </c>
    </row>
    <row r="406" spans="1:5" ht="28.5" x14ac:dyDescent="0.2">
      <c r="A406" s="68" t="s">
        <v>646</v>
      </c>
      <c r="B406" s="6" t="s">
        <v>15</v>
      </c>
      <c r="C406" s="16" t="s">
        <v>354</v>
      </c>
      <c r="D406" s="15" t="s">
        <v>538</v>
      </c>
      <c r="E406" s="48">
        <f>1.108-0.048-0.048-0.048-0.784-0.01</f>
        <v>0.16999999999999993</v>
      </c>
    </row>
    <row r="407" spans="1:5" ht="28.5" x14ac:dyDescent="0.2">
      <c r="A407" s="68" t="s">
        <v>646</v>
      </c>
      <c r="B407" s="6" t="s">
        <v>15</v>
      </c>
      <c r="C407" s="16" t="s">
        <v>354</v>
      </c>
      <c r="D407" s="15" t="s">
        <v>34</v>
      </c>
      <c r="E407" s="48">
        <f>4.45-1.11</f>
        <v>3.34</v>
      </c>
    </row>
    <row r="408" spans="1:5" ht="28.5" x14ac:dyDescent="0.2">
      <c r="A408" s="68" t="s">
        <v>646</v>
      </c>
      <c r="B408" s="6" t="s">
        <v>15</v>
      </c>
      <c r="C408" s="16" t="s">
        <v>354</v>
      </c>
      <c r="D408" s="15" t="s">
        <v>603</v>
      </c>
      <c r="E408" s="48">
        <f>1.11-0.6</f>
        <v>0.51000000000000012</v>
      </c>
    </row>
    <row r="409" spans="1:5" ht="28.5" x14ac:dyDescent="0.2">
      <c r="A409" s="68" t="s">
        <v>646</v>
      </c>
      <c r="B409" s="1" t="s">
        <v>15</v>
      </c>
      <c r="C409" s="16" t="s">
        <v>354</v>
      </c>
      <c r="D409" s="15" t="s">
        <v>604</v>
      </c>
      <c r="E409" s="46">
        <f>1.404-0.702-0.478-0.05</f>
        <v>0.17399999999999999</v>
      </c>
    </row>
    <row r="410" spans="1:5" ht="28.5" x14ac:dyDescent="0.2">
      <c r="A410" s="68" t="s">
        <v>646</v>
      </c>
      <c r="B410" s="1" t="s">
        <v>15</v>
      </c>
      <c r="C410" s="16" t="s">
        <v>354</v>
      </c>
      <c r="D410" s="15" t="s">
        <v>453</v>
      </c>
      <c r="E410" s="46">
        <f>15.4-1.392-1.412-1.394-1.402-1.394</f>
        <v>8.4060000000000006</v>
      </c>
    </row>
    <row r="411" spans="1:5" ht="28.5" x14ac:dyDescent="0.2">
      <c r="A411" s="68" t="s">
        <v>646</v>
      </c>
      <c r="B411" s="1" t="s">
        <v>15</v>
      </c>
      <c r="C411" s="16" t="s">
        <v>354</v>
      </c>
      <c r="D411" s="15" t="s">
        <v>605</v>
      </c>
      <c r="E411" s="46">
        <f>1.402-0.236-0.066-0.022-0.6</f>
        <v>0.47799999999999987</v>
      </c>
    </row>
    <row r="412" spans="1:5" ht="28.5" x14ac:dyDescent="0.2">
      <c r="A412" s="68" t="s">
        <v>646</v>
      </c>
      <c r="B412" s="1" t="s">
        <v>15</v>
      </c>
      <c r="C412" s="16" t="s">
        <v>354</v>
      </c>
      <c r="D412" s="15" t="s">
        <v>577</v>
      </c>
      <c r="E412" s="46">
        <f>0.022</f>
        <v>2.1999999999999999E-2</v>
      </c>
    </row>
    <row r="413" spans="1:5" ht="28.5" x14ac:dyDescent="0.2">
      <c r="A413" s="68" t="s">
        <v>646</v>
      </c>
      <c r="B413" s="1" t="s">
        <v>15</v>
      </c>
      <c r="C413" s="16" t="s">
        <v>72</v>
      </c>
      <c r="D413" s="15" t="s">
        <v>457</v>
      </c>
      <c r="E413" s="46">
        <f>1.702-1.006-0.364-0.164+0.002</f>
        <v>0.16999999999999996</v>
      </c>
    </row>
    <row r="414" spans="1:5" ht="28.5" x14ac:dyDescent="0.2">
      <c r="A414" s="68" t="s">
        <v>646</v>
      </c>
      <c r="B414" s="1" t="s">
        <v>15</v>
      </c>
      <c r="C414" s="16" t="s">
        <v>354</v>
      </c>
      <c r="D414" s="15" t="s">
        <v>514</v>
      </c>
      <c r="E414" s="46">
        <f>1.722-0.5-0.65-0.032-0.002-0.072-0.002-0.13-0.002-0.056</f>
        <v>0.27599999999999991</v>
      </c>
    </row>
    <row r="415" spans="1:5" ht="28.5" x14ac:dyDescent="0.2">
      <c r="A415" s="68" t="s">
        <v>646</v>
      </c>
      <c r="B415" s="1" t="s">
        <v>15</v>
      </c>
      <c r="C415" s="16" t="s">
        <v>354</v>
      </c>
      <c r="D415" s="15" t="s">
        <v>560</v>
      </c>
      <c r="E415" s="46">
        <f>1.726-0.204-0.176-0.544-0.004-0.282</f>
        <v>0.51600000000000001</v>
      </c>
    </row>
    <row r="416" spans="1:5" ht="28.5" x14ac:dyDescent="0.2">
      <c r="A416" s="68" t="s">
        <v>646</v>
      </c>
      <c r="B416" s="1" t="s">
        <v>15</v>
      </c>
      <c r="C416" s="16" t="s">
        <v>354</v>
      </c>
      <c r="D416" s="15" t="s">
        <v>606</v>
      </c>
      <c r="E416" s="46">
        <f>1.69-0.895-0.362</f>
        <v>0.43299999999999994</v>
      </c>
    </row>
    <row r="417" spans="1:5" ht="28.5" x14ac:dyDescent="0.2">
      <c r="A417" s="68" t="s">
        <v>646</v>
      </c>
      <c r="B417" s="1" t="s">
        <v>15</v>
      </c>
      <c r="C417" s="16" t="s">
        <v>354</v>
      </c>
      <c r="D417" s="15" t="s">
        <v>213</v>
      </c>
      <c r="E417" s="46">
        <f>3.43-1.72</f>
        <v>1.7100000000000002</v>
      </c>
    </row>
    <row r="418" spans="1:5" ht="28.5" x14ac:dyDescent="0.2">
      <c r="A418" s="68" t="s">
        <v>646</v>
      </c>
      <c r="B418" s="1" t="s">
        <v>15</v>
      </c>
      <c r="C418" s="16" t="s">
        <v>354</v>
      </c>
      <c r="D418" s="15" t="s">
        <v>607</v>
      </c>
      <c r="E418" s="46">
        <f>1.72-0.89</f>
        <v>0.83</v>
      </c>
    </row>
    <row r="419" spans="1:5" ht="28.5" x14ac:dyDescent="0.2">
      <c r="A419" s="68" t="s">
        <v>646</v>
      </c>
      <c r="B419" s="1" t="s">
        <v>15</v>
      </c>
      <c r="C419" s="6" t="s">
        <v>354</v>
      </c>
      <c r="D419" s="6" t="s">
        <v>608</v>
      </c>
      <c r="E419" s="50">
        <f>1.67-1.044</f>
        <v>0.62599999999999989</v>
      </c>
    </row>
    <row r="420" spans="1:5" ht="28.5" x14ac:dyDescent="0.2">
      <c r="A420" s="68" t="s">
        <v>646</v>
      </c>
      <c r="B420" s="1" t="s">
        <v>15</v>
      </c>
      <c r="C420" s="6" t="s">
        <v>354</v>
      </c>
      <c r="D420" s="6" t="s">
        <v>443</v>
      </c>
      <c r="E420" s="50">
        <f>12.22-1.76-1.76</f>
        <v>8.7000000000000011</v>
      </c>
    </row>
    <row r="421" spans="1:5" ht="28.5" x14ac:dyDescent="0.2">
      <c r="A421" s="68" t="s">
        <v>646</v>
      </c>
      <c r="B421" s="1" t="s">
        <v>15</v>
      </c>
      <c r="C421" s="6" t="s">
        <v>354</v>
      </c>
      <c r="D421" s="6" t="s">
        <v>609</v>
      </c>
      <c r="E421" s="50">
        <f>1.76-1.672</f>
        <v>8.8000000000000078E-2</v>
      </c>
    </row>
    <row r="422" spans="1:5" ht="28.5" x14ac:dyDescent="0.2">
      <c r="A422" s="68" t="s">
        <v>646</v>
      </c>
      <c r="B422" s="1" t="s">
        <v>15</v>
      </c>
      <c r="C422" s="6" t="s">
        <v>354</v>
      </c>
      <c r="D422" s="6" t="s">
        <v>610</v>
      </c>
      <c r="E422" s="50">
        <f>1.76-0.53-0.35</f>
        <v>0.88</v>
      </c>
    </row>
    <row r="423" spans="1:5" ht="28.5" x14ac:dyDescent="0.2">
      <c r="A423" s="68" t="s">
        <v>646</v>
      </c>
      <c r="B423" s="1" t="s">
        <v>15</v>
      </c>
      <c r="C423" s="6" t="s">
        <v>354</v>
      </c>
      <c r="D423" s="6" t="s">
        <v>444</v>
      </c>
      <c r="E423" s="50">
        <f>5.56-1.826</f>
        <v>3.7339999999999995</v>
      </c>
    </row>
    <row r="424" spans="1:5" ht="28.5" x14ac:dyDescent="0.2">
      <c r="A424" s="68" t="s">
        <v>646</v>
      </c>
      <c r="B424" s="1" t="s">
        <v>15</v>
      </c>
      <c r="C424" s="6" t="s">
        <v>354</v>
      </c>
      <c r="D424" s="6" t="s">
        <v>572</v>
      </c>
      <c r="E424" s="50">
        <f>1.826-0.536</f>
        <v>1.29</v>
      </c>
    </row>
    <row r="425" spans="1:5" ht="28.5" x14ac:dyDescent="0.2">
      <c r="A425" s="68" t="s">
        <v>646</v>
      </c>
      <c r="B425" s="6" t="s">
        <v>15</v>
      </c>
      <c r="C425" s="6" t="s">
        <v>72</v>
      </c>
      <c r="D425" s="15" t="s">
        <v>561</v>
      </c>
      <c r="E425" s="48">
        <f>7.25-1.8-1.812-1.748-0.922-0.166-0.062-0.326-0.002-0.142-0.004</f>
        <v>0.26599999999999979</v>
      </c>
    </row>
    <row r="426" spans="1:5" ht="28.5" x14ac:dyDescent="0.2">
      <c r="A426" s="68" t="s">
        <v>646</v>
      </c>
      <c r="B426" s="6" t="s">
        <v>15</v>
      </c>
      <c r="C426" s="6" t="s">
        <v>72</v>
      </c>
      <c r="D426" s="15" t="s">
        <v>323</v>
      </c>
      <c r="E426" s="48">
        <f>1.825-0.298+0.003-0.576-0.47-0.004</f>
        <v>0.47999999999999987</v>
      </c>
    </row>
    <row r="427" spans="1:5" ht="28.5" x14ac:dyDescent="0.2">
      <c r="A427" s="68" t="s">
        <v>646</v>
      </c>
      <c r="B427" s="6" t="s">
        <v>15</v>
      </c>
      <c r="C427" s="16" t="s">
        <v>72</v>
      </c>
      <c r="D427" s="15" t="s">
        <v>361</v>
      </c>
      <c r="E427" s="48">
        <f>3.55-1.77-1.15-0.04-0.236-0.002</f>
        <v>0.35199999999999987</v>
      </c>
    </row>
    <row r="428" spans="1:5" ht="28.5" x14ac:dyDescent="0.2">
      <c r="A428" s="68" t="s">
        <v>646</v>
      </c>
      <c r="B428" s="6" t="s">
        <v>15</v>
      </c>
      <c r="C428" s="16" t="s">
        <v>257</v>
      </c>
      <c r="D428" s="15" t="s">
        <v>258</v>
      </c>
      <c r="E428" s="48">
        <f>8.85-2.23-2.214</f>
        <v>4.4059999999999988</v>
      </c>
    </row>
    <row r="429" spans="1:5" ht="28.5" x14ac:dyDescent="0.2">
      <c r="A429" s="68" t="s">
        <v>646</v>
      </c>
      <c r="B429" s="6" t="s">
        <v>15</v>
      </c>
      <c r="C429" s="6" t="s">
        <v>354</v>
      </c>
      <c r="D429" s="15" t="s">
        <v>91</v>
      </c>
      <c r="E429" s="46">
        <f>5.4-1.78-1.8</f>
        <v>1.82</v>
      </c>
    </row>
    <row r="430" spans="1:5" ht="28.5" x14ac:dyDescent="0.2">
      <c r="A430" s="68" t="s">
        <v>646</v>
      </c>
      <c r="B430" s="6" t="s">
        <v>15</v>
      </c>
      <c r="C430" s="6" t="s">
        <v>354</v>
      </c>
      <c r="D430" s="15" t="s">
        <v>91</v>
      </c>
      <c r="E430" s="46">
        <f>7.43</f>
        <v>7.43</v>
      </c>
    </row>
    <row r="431" spans="1:5" ht="28.5" x14ac:dyDescent="0.2">
      <c r="A431" s="68" t="s">
        <v>646</v>
      </c>
      <c r="B431" s="6" t="s">
        <v>15</v>
      </c>
      <c r="C431" s="6" t="s">
        <v>354</v>
      </c>
      <c r="D431" s="15" t="s">
        <v>445</v>
      </c>
      <c r="E431" s="46">
        <f>5.54</f>
        <v>5.54</v>
      </c>
    </row>
    <row r="432" spans="1:5" ht="28.5" x14ac:dyDescent="0.2">
      <c r="A432" s="68" t="s">
        <v>646</v>
      </c>
      <c r="B432" s="6" t="s">
        <v>15</v>
      </c>
      <c r="C432" s="6" t="s">
        <v>72</v>
      </c>
      <c r="D432" s="15" t="s">
        <v>473</v>
      </c>
      <c r="E432" s="48">
        <f>1.816-0.34-0.426-0.369-0.003-0.134-0.1</f>
        <v>0.44400000000000006</v>
      </c>
    </row>
    <row r="433" spans="1:5" ht="28.5" x14ac:dyDescent="0.2">
      <c r="A433" s="68" t="s">
        <v>646</v>
      </c>
      <c r="B433" s="6" t="s">
        <v>15</v>
      </c>
      <c r="C433" s="16" t="s">
        <v>72</v>
      </c>
      <c r="D433" s="15" t="s">
        <v>611</v>
      </c>
      <c r="E433" s="46">
        <f>1.85-0.8-0.722</f>
        <v>0.32800000000000007</v>
      </c>
    </row>
    <row r="434" spans="1:5" ht="28.5" x14ac:dyDescent="0.2">
      <c r="A434" s="68" t="s">
        <v>646</v>
      </c>
      <c r="B434" s="6" t="s">
        <v>15</v>
      </c>
      <c r="C434" s="16" t="s">
        <v>354</v>
      </c>
      <c r="D434" s="15" t="s">
        <v>88</v>
      </c>
      <c r="E434" s="46">
        <f>5.4-1.8</f>
        <v>3.6000000000000005</v>
      </c>
    </row>
    <row r="435" spans="1:5" ht="28.5" x14ac:dyDescent="0.2">
      <c r="A435" s="68" t="s">
        <v>646</v>
      </c>
      <c r="B435" s="6" t="s">
        <v>15</v>
      </c>
      <c r="C435" s="6" t="s">
        <v>164</v>
      </c>
      <c r="D435" s="15" t="s">
        <v>162</v>
      </c>
      <c r="E435" s="48">
        <f>1.302-0.42-0.157-0.409-0.044</f>
        <v>0.27200000000000013</v>
      </c>
    </row>
    <row r="436" spans="1:5" ht="28.5" x14ac:dyDescent="0.2">
      <c r="A436" s="68" t="s">
        <v>646</v>
      </c>
      <c r="B436" s="1" t="s">
        <v>15</v>
      </c>
      <c r="C436" s="16" t="s">
        <v>72</v>
      </c>
      <c r="D436" s="15" t="s">
        <v>242</v>
      </c>
      <c r="E436" s="46">
        <f>5.36+5.41-5.41</f>
        <v>5.3599999999999994</v>
      </c>
    </row>
    <row r="437" spans="1:5" ht="28.5" x14ac:dyDescent="0.2">
      <c r="A437" s="68" t="s">
        <v>646</v>
      </c>
      <c r="B437" s="1" t="s">
        <v>15</v>
      </c>
      <c r="C437" s="16" t="s">
        <v>354</v>
      </c>
      <c r="D437" s="15" t="s">
        <v>446</v>
      </c>
      <c r="E437" s="46">
        <f>5.5</f>
        <v>5.5</v>
      </c>
    </row>
    <row r="438" spans="1:5" ht="28.5" x14ac:dyDescent="0.2">
      <c r="A438" s="68" t="s">
        <v>646</v>
      </c>
      <c r="B438" s="6" t="s">
        <v>15</v>
      </c>
      <c r="C438" s="16" t="s">
        <v>72</v>
      </c>
      <c r="D438" s="15" t="s">
        <v>117</v>
      </c>
      <c r="E438" s="48">
        <f>1.8-0.53-0.288-0.29-0.414-0.07</f>
        <v>0.20799999999999996</v>
      </c>
    </row>
    <row r="439" spans="1:5" ht="28.5" x14ac:dyDescent="0.2">
      <c r="A439" s="68" t="s">
        <v>646</v>
      </c>
      <c r="B439" s="1" t="s">
        <v>15</v>
      </c>
      <c r="C439" s="16" t="s">
        <v>72</v>
      </c>
      <c r="D439" s="6" t="s">
        <v>380</v>
      </c>
      <c r="E439" s="57">
        <f>1.766-0.212-0.506-0.002-0.534-0.002-0.266-0.004</f>
        <v>0.24</v>
      </c>
    </row>
    <row r="440" spans="1:5" ht="28.5" x14ac:dyDescent="0.2">
      <c r="A440" s="68" t="s">
        <v>646</v>
      </c>
      <c r="B440" s="1" t="s">
        <v>15</v>
      </c>
      <c r="C440" s="16" t="s">
        <v>72</v>
      </c>
      <c r="D440" s="6" t="s">
        <v>348</v>
      </c>
      <c r="E440" s="57">
        <f>5.48-1.84-1.82-0.44-0.026-0.76-0.165-0.322-0.005</f>
        <v>0.10200000000000048</v>
      </c>
    </row>
    <row r="441" spans="1:5" ht="28.5" x14ac:dyDescent="0.2">
      <c r="A441" s="68" t="s">
        <v>646</v>
      </c>
      <c r="B441" s="1" t="s">
        <v>15</v>
      </c>
      <c r="C441" s="16" t="s">
        <v>354</v>
      </c>
      <c r="D441" s="6" t="s">
        <v>106</v>
      </c>
      <c r="E441" s="57">
        <f>5.44-1.767-1.786</f>
        <v>1.8870000000000005</v>
      </c>
    </row>
    <row r="442" spans="1:5" ht="28.5" x14ac:dyDescent="0.2">
      <c r="A442" s="68" t="s">
        <v>646</v>
      </c>
      <c r="B442" s="1" t="s">
        <v>15</v>
      </c>
      <c r="C442" s="16" t="s">
        <v>354</v>
      </c>
      <c r="D442" s="6" t="s">
        <v>484</v>
      </c>
      <c r="E442" s="57">
        <f>1.767-0.088-0.045-1.37</f>
        <v>0.26399999999999979</v>
      </c>
    </row>
    <row r="443" spans="1:5" ht="28.5" x14ac:dyDescent="0.2">
      <c r="A443" s="68" t="s">
        <v>646</v>
      </c>
      <c r="B443" s="1" t="s">
        <v>15</v>
      </c>
      <c r="C443" s="16" t="s">
        <v>354</v>
      </c>
      <c r="D443" s="6" t="s">
        <v>499</v>
      </c>
      <c r="E443" s="57">
        <f>1.786-0.136</f>
        <v>1.65</v>
      </c>
    </row>
    <row r="444" spans="1:5" ht="28.5" x14ac:dyDescent="0.2">
      <c r="A444" s="68" t="s">
        <v>646</v>
      </c>
      <c r="B444" s="1" t="s">
        <v>15</v>
      </c>
      <c r="C444" s="16" t="s">
        <v>72</v>
      </c>
      <c r="D444" s="6" t="s">
        <v>168</v>
      </c>
      <c r="E444" s="57">
        <f>5.62-1.884-1.838</f>
        <v>1.8980000000000001</v>
      </c>
    </row>
    <row r="445" spans="1:5" ht="28.5" x14ac:dyDescent="0.2">
      <c r="A445" s="68" t="s">
        <v>646</v>
      </c>
      <c r="B445" s="1" t="s">
        <v>15</v>
      </c>
      <c r="C445" s="16" t="s">
        <v>72</v>
      </c>
      <c r="D445" s="6" t="s">
        <v>525</v>
      </c>
      <c r="E445" s="57">
        <f>1.838-0.244-0.244-0.008-0.254-0.004-0.156-0.03</f>
        <v>0.89800000000000002</v>
      </c>
    </row>
    <row r="446" spans="1:5" ht="28.5" x14ac:dyDescent="0.2">
      <c r="A446" s="68" t="s">
        <v>646</v>
      </c>
      <c r="B446" s="1" t="s">
        <v>15</v>
      </c>
      <c r="C446" s="16" t="s">
        <v>354</v>
      </c>
      <c r="D446" s="6" t="s">
        <v>168</v>
      </c>
      <c r="E446" s="57">
        <f>1.82</f>
        <v>1.82</v>
      </c>
    </row>
    <row r="447" spans="1:5" ht="28.5" x14ac:dyDescent="0.2">
      <c r="A447" s="68" t="s">
        <v>646</v>
      </c>
      <c r="B447" s="1" t="s">
        <v>15</v>
      </c>
      <c r="C447" s="16" t="s">
        <v>72</v>
      </c>
      <c r="D447" s="6" t="s">
        <v>424</v>
      </c>
      <c r="E447" s="57">
        <f>1.816-0.156-0.022-0.322-0.002-0.512-0.008</f>
        <v>0.79400000000000004</v>
      </c>
    </row>
    <row r="448" spans="1:5" ht="28.5" x14ac:dyDescent="0.2">
      <c r="A448" s="68" t="s">
        <v>646</v>
      </c>
      <c r="B448" s="1" t="s">
        <v>15</v>
      </c>
      <c r="C448" s="16" t="s">
        <v>354</v>
      </c>
      <c r="D448" s="6" t="s">
        <v>98</v>
      </c>
      <c r="E448" s="57">
        <f>5.42-1.79</f>
        <v>3.63</v>
      </c>
    </row>
    <row r="449" spans="1:5" ht="28.5" x14ac:dyDescent="0.2">
      <c r="A449" s="68" t="s">
        <v>646</v>
      </c>
      <c r="B449" s="1" t="s">
        <v>15</v>
      </c>
      <c r="C449" s="16" t="s">
        <v>354</v>
      </c>
      <c r="D449" s="6" t="s">
        <v>502</v>
      </c>
      <c r="E449" s="57">
        <f>1.79-0.972</f>
        <v>0.81800000000000006</v>
      </c>
    </row>
    <row r="450" spans="1:5" ht="28.5" x14ac:dyDescent="0.2">
      <c r="A450" s="68" t="s">
        <v>646</v>
      </c>
      <c r="B450" s="1" t="s">
        <v>15</v>
      </c>
      <c r="C450" s="16" t="s">
        <v>356</v>
      </c>
      <c r="D450" s="6" t="s">
        <v>355</v>
      </c>
      <c r="E450" s="57">
        <f>5.58-1.83-1.812</f>
        <v>1.9379999999999999</v>
      </c>
    </row>
    <row r="451" spans="1:5" ht="28.5" x14ac:dyDescent="0.2">
      <c r="A451" s="68" t="s">
        <v>646</v>
      </c>
      <c r="B451" s="1" t="s">
        <v>15</v>
      </c>
      <c r="C451" s="16" t="s">
        <v>356</v>
      </c>
      <c r="D451" s="6" t="s">
        <v>378</v>
      </c>
      <c r="E451" s="57">
        <f>1.83-0.562-0.302-0.326-0.338+0.014</f>
        <v>0.31599999999999989</v>
      </c>
    </row>
    <row r="452" spans="1:5" ht="28.5" x14ac:dyDescent="0.2">
      <c r="A452" s="68" t="s">
        <v>646</v>
      </c>
      <c r="B452" s="1" t="s">
        <v>15</v>
      </c>
      <c r="C452" s="16" t="s">
        <v>356</v>
      </c>
      <c r="D452" s="6" t="s">
        <v>382</v>
      </c>
      <c r="E452" s="57">
        <f>1.812-0.238</f>
        <v>1.5740000000000001</v>
      </c>
    </row>
    <row r="453" spans="1:5" ht="28.5" x14ac:dyDescent="0.2">
      <c r="A453" s="68" t="s">
        <v>646</v>
      </c>
      <c r="B453" s="8" t="s">
        <v>61</v>
      </c>
      <c r="C453" s="37" t="s">
        <v>212</v>
      </c>
      <c r="D453" s="25" t="s">
        <v>8</v>
      </c>
      <c r="E453" s="58">
        <f>2.092-0.342-0.098-0.148-0.194-0.096-0.098-0.05-0.194</f>
        <v>0.87199999999999989</v>
      </c>
    </row>
    <row r="454" spans="1:5" ht="28.5" x14ac:dyDescent="0.2">
      <c r="A454" s="68" t="s">
        <v>646</v>
      </c>
      <c r="B454" s="8" t="s">
        <v>61</v>
      </c>
      <c r="C454" s="37" t="s">
        <v>212</v>
      </c>
      <c r="D454" s="25" t="s">
        <v>9</v>
      </c>
      <c r="E454" s="58">
        <f>2.044-0.128-0.193-0.126-0.193-0.064-0.064-0.128-0.064-0.13-0.194-0.51</f>
        <v>0.24999999999999956</v>
      </c>
    </row>
    <row r="455" spans="1:5" ht="28.5" x14ac:dyDescent="0.2">
      <c r="A455" s="68" t="s">
        <v>646</v>
      </c>
      <c r="B455" s="8" t="s">
        <v>61</v>
      </c>
      <c r="C455" s="37" t="s">
        <v>212</v>
      </c>
      <c r="D455" s="25" t="s">
        <v>521</v>
      </c>
      <c r="E455" s="58">
        <f>0.358-0.048-0.016+0.002</f>
        <v>0.29599999999999999</v>
      </c>
    </row>
    <row r="456" spans="1:5" ht="28.5" x14ac:dyDescent="0.2">
      <c r="A456" s="68" t="s">
        <v>646</v>
      </c>
      <c r="B456" s="8" t="s">
        <v>61</v>
      </c>
      <c r="C456" s="37" t="s">
        <v>212</v>
      </c>
      <c r="D456" s="25" t="s">
        <v>55</v>
      </c>
      <c r="E456" s="58">
        <f>3.89-0.425-0.43-0.868-0.44</f>
        <v>1.7270000000000003</v>
      </c>
    </row>
    <row r="457" spans="1:5" ht="28.5" x14ac:dyDescent="0.2">
      <c r="A457" s="68" t="s">
        <v>646</v>
      </c>
      <c r="B457" s="8" t="s">
        <v>61</v>
      </c>
      <c r="C457" s="37" t="s">
        <v>212</v>
      </c>
      <c r="D457" s="25" t="s">
        <v>544</v>
      </c>
      <c r="E457" s="58">
        <f>0.425-0.054-0.001-0.022-0.022+0.002-0.036+0.003-0.018-0.007-0.018-0.072</f>
        <v>0.17999999999999994</v>
      </c>
    </row>
    <row r="458" spans="1:5" ht="28.5" x14ac:dyDescent="0.2">
      <c r="A458" s="68" t="s">
        <v>646</v>
      </c>
      <c r="B458" s="8" t="s">
        <v>61</v>
      </c>
      <c r="C458" s="37" t="s">
        <v>368</v>
      </c>
      <c r="D458" s="25" t="s">
        <v>55</v>
      </c>
      <c r="E458" s="58">
        <f>1.71</f>
        <v>1.71</v>
      </c>
    </row>
    <row r="459" spans="1:5" ht="28.5" x14ac:dyDescent="0.2">
      <c r="A459" s="68" t="s">
        <v>646</v>
      </c>
      <c r="B459" s="8" t="s">
        <v>61</v>
      </c>
      <c r="C459" s="37" t="s">
        <v>212</v>
      </c>
      <c r="D459" s="25" t="s">
        <v>491</v>
      </c>
      <c r="E459" s="58">
        <f>0.54-0.095-0.003-0.144-0.048-0.026</f>
        <v>0.22400000000000006</v>
      </c>
    </row>
    <row r="460" spans="1:5" ht="28.5" x14ac:dyDescent="0.2">
      <c r="A460" s="68" t="s">
        <v>646</v>
      </c>
      <c r="B460" s="8" t="s">
        <v>61</v>
      </c>
      <c r="C460" s="37" t="s">
        <v>368</v>
      </c>
      <c r="D460" s="25" t="s">
        <v>27</v>
      </c>
      <c r="E460" s="58">
        <f>4.59</f>
        <v>4.59</v>
      </c>
    </row>
    <row r="461" spans="1:5" ht="28.5" x14ac:dyDescent="0.2">
      <c r="A461" s="68" t="s">
        <v>646</v>
      </c>
      <c r="B461" s="8" t="s">
        <v>61</v>
      </c>
      <c r="C461" s="37" t="s">
        <v>212</v>
      </c>
      <c r="D461" s="25" t="s">
        <v>612</v>
      </c>
      <c r="E461" s="58">
        <f>0.764-0.282-0.072-0.002-0.037-0.002-0.044+0.001-0.186-0.07</f>
        <v>7.0000000000000062E-2</v>
      </c>
    </row>
    <row r="462" spans="1:5" ht="28.5" x14ac:dyDescent="0.2">
      <c r="A462" s="68" t="s">
        <v>646</v>
      </c>
      <c r="B462" s="8" t="s">
        <v>61</v>
      </c>
      <c r="C462" s="37" t="s">
        <v>368</v>
      </c>
      <c r="D462" s="28" t="s">
        <v>53</v>
      </c>
      <c r="E462" s="59">
        <f>1.71-0.858</f>
        <v>0.85199999999999998</v>
      </c>
    </row>
    <row r="463" spans="1:5" ht="28.5" x14ac:dyDescent="0.2">
      <c r="A463" s="68" t="s">
        <v>646</v>
      </c>
      <c r="B463" s="8" t="s">
        <v>61</v>
      </c>
      <c r="C463" s="37" t="s">
        <v>368</v>
      </c>
      <c r="D463" s="28" t="s">
        <v>581</v>
      </c>
      <c r="E463" s="59">
        <f>0.858-0.258</f>
        <v>0.6</v>
      </c>
    </row>
    <row r="464" spans="1:5" ht="28.5" x14ac:dyDescent="0.2">
      <c r="A464" s="68" t="s">
        <v>646</v>
      </c>
      <c r="B464" s="8" t="s">
        <v>61</v>
      </c>
      <c r="C464" s="37" t="s">
        <v>368</v>
      </c>
      <c r="D464" s="28" t="s">
        <v>574</v>
      </c>
      <c r="E464" s="59">
        <f>2-0.996-0.05</f>
        <v>0.95399999999999996</v>
      </c>
    </row>
    <row r="465" spans="1:5" ht="28.5" x14ac:dyDescent="0.2">
      <c r="A465" s="68" t="s">
        <v>646</v>
      </c>
      <c r="B465" s="8" t="s">
        <v>61</v>
      </c>
      <c r="C465" s="37" t="s">
        <v>212</v>
      </c>
      <c r="D465" s="28" t="s">
        <v>358</v>
      </c>
      <c r="E465" s="59">
        <f>0.865-0.103-0.548+0.002-0.158-0.002</f>
        <v>5.5999999999999966E-2</v>
      </c>
    </row>
    <row r="466" spans="1:5" ht="28.5" x14ac:dyDescent="0.2">
      <c r="A466" s="68" t="s">
        <v>646</v>
      </c>
      <c r="B466" s="8" t="s">
        <v>61</v>
      </c>
      <c r="C466" s="37" t="s">
        <v>212</v>
      </c>
      <c r="D466" s="28" t="s">
        <v>500</v>
      </c>
      <c r="E466" s="59">
        <f>1.136-0.416-0.058-0.002-0.04-0.094-0.203-0.005-0.204</f>
        <v>0.11399999999999991</v>
      </c>
    </row>
    <row r="467" spans="1:5" ht="28.5" x14ac:dyDescent="0.2">
      <c r="A467" s="68" t="s">
        <v>646</v>
      </c>
      <c r="B467" s="8" t="s">
        <v>61</v>
      </c>
      <c r="C467" s="37" t="s">
        <v>368</v>
      </c>
      <c r="D467" s="28" t="s">
        <v>34</v>
      </c>
      <c r="E467" s="59">
        <f>2.28-1.14</f>
        <v>1.1399999999999999</v>
      </c>
    </row>
    <row r="468" spans="1:5" ht="28.5" x14ac:dyDescent="0.2">
      <c r="A468" s="68" t="s">
        <v>646</v>
      </c>
      <c r="B468" s="8" t="s">
        <v>61</v>
      </c>
      <c r="C468" s="37" t="s">
        <v>368</v>
      </c>
      <c r="D468" s="28" t="s">
        <v>563</v>
      </c>
      <c r="E468" s="59">
        <f>1.134-0.256</f>
        <v>0.87799999999999989</v>
      </c>
    </row>
    <row r="469" spans="1:5" ht="28.5" x14ac:dyDescent="0.2">
      <c r="A469" s="68" t="s">
        <v>646</v>
      </c>
      <c r="B469" s="8" t="s">
        <v>61</v>
      </c>
      <c r="C469" s="37" t="s">
        <v>212</v>
      </c>
      <c r="D469" s="28" t="s">
        <v>613</v>
      </c>
      <c r="E469" s="59">
        <f>8.53-1.412-1.425-1.42-1.426-1.433-0.194+0.01-0.36-0.478-0.1</f>
        <v>0.29199999999999959</v>
      </c>
    </row>
    <row r="470" spans="1:5" ht="28.5" x14ac:dyDescent="0.2">
      <c r="A470" s="68" t="s">
        <v>646</v>
      </c>
      <c r="B470" s="8" t="s">
        <v>61</v>
      </c>
      <c r="C470" s="37" t="s">
        <v>212</v>
      </c>
      <c r="D470" s="28" t="s">
        <v>476</v>
      </c>
      <c r="E470" s="59">
        <f>0.194</f>
        <v>0.19400000000000001</v>
      </c>
    </row>
    <row r="471" spans="1:5" ht="28.5" x14ac:dyDescent="0.2">
      <c r="A471" s="68" t="s">
        <v>646</v>
      </c>
      <c r="B471" s="8" t="s">
        <v>61</v>
      </c>
      <c r="C471" s="37" t="s">
        <v>368</v>
      </c>
      <c r="D471" s="28" t="s">
        <v>40</v>
      </c>
      <c r="E471" s="59">
        <f>7.12-1.428</f>
        <v>5.6920000000000002</v>
      </c>
    </row>
    <row r="472" spans="1:5" ht="28.5" x14ac:dyDescent="0.2">
      <c r="A472" s="68" t="s">
        <v>646</v>
      </c>
      <c r="B472" s="8" t="s">
        <v>61</v>
      </c>
      <c r="C472" s="37" t="s">
        <v>212</v>
      </c>
      <c r="D472" s="28" t="s">
        <v>84</v>
      </c>
      <c r="E472" s="59">
        <f>5.1-1.68-1.678</f>
        <v>1.742</v>
      </c>
    </row>
    <row r="473" spans="1:5" ht="28.5" x14ac:dyDescent="0.2">
      <c r="A473" s="68" t="s">
        <v>646</v>
      </c>
      <c r="B473" s="8" t="s">
        <v>61</v>
      </c>
      <c r="C473" s="37" t="s">
        <v>212</v>
      </c>
      <c r="D473" s="28" t="s">
        <v>509</v>
      </c>
      <c r="E473" s="59">
        <f>1.678-0.452-0.334-0.002-0.198-0.246-0.076</f>
        <v>0.36999999999999994</v>
      </c>
    </row>
    <row r="474" spans="1:5" ht="28.5" x14ac:dyDescent="0.2">
      <c r="A474" s="68" t="s">
        <v>646</v>
      </c>
      <c r="B474" s="8" t="s">
        <v>61</v>
      </c>
      <c r="C474" s="37" t="s">
        <v>368</v>
      </c>
      <c r="D474" s="28" t="s">
        <v>84</v>
      </c>
      <c r="E474" s="59">
        <f>1.62</f>
        <v>1.62</v>
      </c>
    </row>
    <row r="475" spans="1:5" ht="28.5" x14ac:dyDescent="0.2">
      <c r="A475" s="68" t="s">
        <v>646</v>
      </c>
      <c r="B475" s="8" t="s">
        <v>61</v>
      </c>
      <c r="C475" s="37" t="s">
        <v>368</v>
      </c>
      <c r="D475" s="28" t="s">
        <v>213</v>
      </c>
      <c r="E475" s="59">
        <f>6.62-1.652</f>
        <v>4.968</v>
      </c>
    </row>
    <row r="476" spans="1:5" ht="28.5" x14ac:dyDescent="0.2">
      <c r="A476" s="68" t="s">
        <v>646</v>
      </c>
      <c r="B476" s="8" t="s">
        <v>61</v>
      </c>
      <c r="C476" s="37" t="s">
        <v>368</v>
      </c>
      <c r="D476" s="28" t="s">
        <v>547</v>
      </c>
      <c r="E476" s="59">
        <f>1.652-0.366-0.376-0.074-0.002-0.186-0.002</f>
        <v>0.64600000000000013</v>
      </c>
    </row>
    <row r="477" spans="1:5" ht="28.5" x14ac:dyDescent="0.2">
      <c r="A477" s="68" t="s">
        <v>646</v>
      </c>
      <c r="B477" s="8" t="s">
        <v>61</v>
      </c>
      <c r="C477" s="37" t="s">
        <v>212</v>
      </c>
      <c r="D477" s="28" t="s">
        <v>508</v>
      </c>
      <c r="E477" s="59">
        <f>1.7-0.148-0.186-0.076+0.004</f>
        <v>1.294</v>
      </c>
    </row>
    <row r="478" spans="1:5" ht="28.5" x14ac:dyDescent="0.2">
      <c r="A478" s="68" t="s">
        <v>646</v>
      </c>
      <c r="B478" s="8" t="s">
        <v>61</v>
      </c>
      <c r="C478" s="37" t="s">
        <v>81</v>
      </c>
      <c r="D478" s="28" t="s">
        <v>226</v>
      </c>
      <c r="E478" s="60">
        <f>3.37-1.7-0.562+0.012-0.128-0.002-0.344-0.004-0.114-0.115-0.001-0.004-0.098-0.098-0.004-0.096</f>
        <v>0.11200000000000015</v>
      </c>
    </row>
    <row r="479" spans="1:5" ht="28.5" x14ac:dyDescent="0.2">
      <c r="A479" s="68" t="s">
        <v>646</v>
      </c>
      <c r="B479" s="8" t="s">
        <v>61</v>
      </c>
      <c r="C479" s="37" t="s">
        <v>212</v>
      </c>
      <c r="D479" s="28" t="s">
        <v>263</v>
      </c>
      <c r="E479" s="59">
        <f>1.67</f>
        <v>1.67</v>
      </c>
    </row>
    <row r="480" spans="1:5" ht="28.5" x14ac:dyDescent="0.2">
      <c r="A480" s="68" t="s">
        <v>646</v>
      </c>
      <c r="B480" s="8" t="s">
        <v>61</v>
      </c>
      <c r="C480" s="37" t="s">
        <v>368</v>
      </c>
      <c r="D480" s="28" t="s">
        <v>369</v>
      </c>
      <c r="E480" s="59">
        <f>1.66</f>
        <v>1.66</v>
      </c>
    </row>
    <row r="481" spans="1:5" ht="28.5" x14ac:dyDescent="0.2">
      <c r="A481" s="68" t="s">
        <v>646</v>
      </c>
      <c r="B481" s="8" t="s">
        <v>61</v>
      </c>
      <c r="C481" s="37" t="s">
        <v>368</v>
      </c>
      <c r="D481" s="28" t="s">
        <v>86</v>
      </c>
      <c r="E481" s="59">
        <f>6.75-1.68-1.68-1.684</f>
        <v>1.7060000000000006</v>
      </c>
    </row>
    <row r="482" spans="1:5" ht="28.5" x14ac:dyDescent="0.2">
      <c r="A482" s="68" t="s">
        <v>646</v>
      </c>
      <c r="B482" s="8" t="s">
        <v>61</v>
      </c>
      <c r="C482" s="37" t="s">
        <v>368</v>
      </c>
      <c r="D482" s="28" t="s">
        <v>580</v>
      </c>
      <c r="E482" s="59">
        <f>1.684-0.678-0.284-0.002</f>
        <v>0.71999999999999975</v>
      </c>
    </row>
    <row r="483" spans="1:5" ht="28.5" x14ac:dyDescent="0.2">
      <c r="A483" s="68" t="s">
        <v>646</v>
      </c>
      <c r="B483" s="8" t="s">
        <v>61</v>
      </c>
      <c r="C483" s="37" t="s">
        <v>368</v>
      </c>
      <c r="D483" s="28" t="s">
        <v>371</v>
      </c>
      <c r="E483" s="59">
        <f>3.5-1.79</f>
        <v>1.71</v>
      </c>
    </row>
    <row r="484" spans="1:5" ht="28.5" x14ac:dyDescent="0.2">
      <c r="A484" s="68" t="s">
        <v>646</v>
      </c>
      <c r="B484" s="8" t="s">
        <v>61</v>
      </c>
      <c r="C484" s="37" t="s">
        <v>368</v>
      </c>
      <c r="D484" s="28" t="s">
        <v>552</v>
      </c>
      <c r="E484" s="59">
        <f>1.79-0.134-0.141-0.003</f>
        <v>1.5120000000000002</v>
      </c>
    </row>
    <row r="485" spans="1:5" ht="28.5" x14ac:dyDescent="0.2">
      <c r="A485" s="68" t="s">
        <v>646</v>
      </c>
      <c r="B485" s="8" t="s">
        <v>61</v>
      </c>
      <c r="C485" s="37" t="s">
        <v>368</v>
      </c>
      <c r="D485" s="28" t="s">
        <v>91</v>
      </c>
      <c r="E485" s="60">
        <f>5.39-1.786-1.79</f>
        <v>1.8139999999999996</v>
      </c>
    </row>
    <row r="486" spans="1:5" ht="28.5" x14ac:dyDescent="0.2">
      <c r="A486" s="68" t="s">
        <v>646</v>
      </c>
      <c r="B486" s="8" t="s">
        <v>61</v>
      </c>
      <c r="C486" s="37" t="s">
        <v>368</v>
      </c>
      <c r="D486" s="28" t="s">
        <v>614</v>
      </c>
      <c r="E486" s="60">
        <f>1.79-0.2</f>
        <v>1.59</v>
      </c>
    </row>
    <row r="487" spans="1:5" ht="28.5" x14ac:dyDescent="0.2">
      <c r="A487" s="68" t="s">
        <v>646</v>
      </c>
      <c r="B487" s="8" t="s">
        <v>61</v>
      </c>
      <c r="C487" s="37" t="s">
        <v>368</v>
      </c>
      <c r="D487" s="28" t="s">
        <v>370</v>
      </c>
      <c r="E487" s="60">
        <f>1.81</f>
        <v>1.81</v>
      </c>
    </row>
    <row r="488" spans="1:5" ht="28.5" x14ac:dyDescent="0.2">
      <c r="A488" s="68" t="s">
        <v>646</v>
      </c>
      <c r="B488" s="8" t="s">
        <v>61</v>
      </c>
      <c r="C488" s="37" t="s">
        <v>145</v>
      </c>
      <c r="D488" s="28" t="s">
        <v>428</v>
      </c>
      <c r="E488" s="59">
        <f>8.07-1.154-1.15-2.314-1.15-1.134</f>
        <v>1.1680000000000001</v>
      </c>
    </row>
    <row r="489" spans="1:5" ht="28.5" x14ac:dyDescent="0.2">
      <c r="A489" s="68" t="s">
        <v>646</v>
      </c>
      <c r="B489" s="8" t="s">
        <v>61</v>
      </c>
      <c r="C489" s="37" t="s">
        <v>145</v>
      </c>
      <c r="D489" s="28" t="s">
        <v>511</v>
      </c>
      <c r="E489" s="59">
        <f>1.134-0.386-0.36-0.002</f>
        <v>0.3859999999999999</v>
      </c>
    </row>
    <row r="490" spans="1:5" ht="28.5" x14ac:dyDescent="0.2">
      <c r="A490" s="68" t="s">
        <v>646</v>
      </c>
      <c r="B490" s="8" t="s">
        <v>61</v>
      </c>
      <c r="C490" s="37" t="s">
        <v>81</v>
      </c>
      <c r="D490" s="28" t="s">
        <v>516</v>
      </c>
      <c r="E490" s="60">
        <f>7.56-1.905-1.885-1.894-0.268-0.002</f>
        <v>1.6059999999999997</v>
      </c>
    </row>
    <row r="491" spans="1:5" ht="28.5" x14ac:dyDescent="0.2">
      <c r="A491" s="68" t="s">
        <v>646</v>
      </c>
      <c r="B491" s="8" t="s">
        <v>61</v>
      </c>
      <c r="C491" s="37" t="s">
        <v>81</v>
      </c>
      <c r="D491" s="28" t="s">
        <v>454</v>
      </c>
      <c r="E491" s="60">
        <f>1.905-0.806-0.027-0.532-0.282-0.004</f>
        <v>0.25400000000000006</v>
      </c>
    </row>
    <row r="492" spans="1:5" ht="28.5" x14ac:dyDescent="0.2">
      <c r="A492" s="68" t="s">
        <v>646</v>
      </c>
      <c r="B492" s="8" t="s">
        <v>61</v>
      </c>
      <c r="C492" s="37" t="s">
        <v>212</v>
      </c>
      <c r="D492" s="28" t="s">
        <v>431</v>
      </c>
      <c r="E492" s="59">
        <f>1.89-0.138-0.018-0.278-0.004-0.14-0.002-0.36-0.002</f>
        <v>0.94799999999999984</v>
      </c>
    </row>
    <row r="493" spans="1:5" ht="28.5" x14ac:dyDescent="0.2">
      <c r="A493" s="68" t="s">
        <v>646</v>
      </c>
      <c r="B493" s="8" t="s">
        <v>61</v>
      </c>
      <c r="C493" s="37" t="s">
        <v>368</v>
      </c>
      <c r="D493" s="28" t="s">
        <v>493</v>
      </c>
      <c r="E493" s="59">
        <f>1.81-0.746-0.048-0.33-0.096-0.002</f>
        <v>0.58799999999999997</v>
      </c>
    </row>
    <row r="494" spans="1:5" ht="28.5" x14ac:dyDescent="0.2">
      <c r="A494" s="68" t="s">
        <v>646</v>
      </c>
      <c r="B494" s="8" t="s">
        <v>61</v>
      </c>
      <c r="C494" s="37" t="s">
        <v>368</v>
      </c>
      <c r="D494" s="28" t="s">
        <v>168</v>
      </c>
      <c r="E494" s="59">
        <f>1.79</f>
        <v>1.79</v>
      </c>
    </row>
    <row r="495" spans="1:5" ht="28.5" x14ac:dyDescent="0.2">
      <c r="A495" s="68" t="s">
        <v>646</v>
      </c>
      <c r="B495" s="8" t="s">
        <v>61</v>
      </c>
      <c r="C495" s="37" t="s">
        <v>145</v>
      </c>
      <c r="D495" s="28" t="s">
        <v>374</v>
      </c>
      <c r="E495" s="59">
        <f>3.43-1.134-1.134-0.694+0.008</f>
        <v>0.47600000000000042</v>
      </c>
    </row>
    <row r="496" spans="1:5" ht="28.5" x14ac:dyDescent="0.2">
      <c r="A496" s="68" t="s">
        <v>646</v>
      </c>
      <c r="B496" s="8" t="s">
        <v>61</v>
      </c>
      <c r="C496" s="37" t="s">
        <v>145</v>
      </c>
      <c r="D496" s="28" t="s">
        <v>374</v>
      </c>
      <c r="E496" s="59">
        <f>3.51-1.158-1.17-0.68-0.03</f>
        <v>0.47199999999999986</v>
      </c>
    </row>
    <row r="497" spans="1:5" ht="28.5" x14ac:dyDescent="0.2">
      <c r="A497" s="68" t="s">
        <v>646</v>
      </c>
      <c r="B497" s="8" t="s">
        <v>61</v>
      </c>
      <c r="C497" s="37" t="s">
        <v>145</v>
      </c>
      <c r="D497" s="28" t="s">
        <v>364</v>
      </c>
      <c r="E497" s="59">
        <f>1.158-0.67</f>
        <v>0.48799999999999988</v>
      </c>
    </row>
    <row r="498" spans="1:5" ht="28.5" x14ac:dyDescent="0.2">
      <c r="A498" s="68" t="s">
        <v>646</v>
      </c>
      <c r="B498" s="8" t="s">
        <v>61</v>
      </c>
      <c r="C498" s="37" t="s">
        <v>145</v>
      </c>
      <c r="D498" s="28" t="s">
        <v>463</v>
      </c>
      <c r="E498" s="59">
        <f>1.17-0.67-0.008</f>
        <v>0.49199999999999988</v>
      </c>
    </row>
    <row r="499" spans="1:5" ht="28.5" x14ac:dyDescent="0.2">
      <c r="A499" s="68" t="s">
        <v>646</v>
      </c>
      <c r="B499" s="8" t="s">
        <v>61</v>
      </c>
      <c r="C499" s="37" t="s">
        <v>145</v>
      </c>
      <c r="D499" s="28" t="s">
        <v>158</v>
      </c>
      <c r="E499" s="59">
        <f>3.46-2.34</f>
        <v>1.1200000000000001</v>
      </c>
    </row>
    <row r="500" spans="1:5" ht="14.25" x14ac:dyDescent="0.2">
      <c r="A500" s="70" t="s">
        <v>647</v>
      </c>
      <c r="B500" s="25" t="s">
        <v>529</v>
      </c>
      <c r="C500" s="25" t="s">
        <v>530</v>
      </c>
      <c r="D500" s="25" t="s">
        <v>103</v>
      </c>
      <c r="E500" s="58">
        <f>0.51</f>
        <v>0.51</v>
      </c>
    </row>
    <row r="501" spans="1:5" ht="14.25" x14ac:dyDescent="0.2">
      <c r="A501" s="70" t="s">
        <v>647</v>
      </c>
      <c r="B501" s="27" t="s">
        <v>75</v>
      </c>
      <c r="C501" s="27" t="s">
        <v>388</v>
      </c>
      <c r="D501" s="27" t="s">
        <v>7</v>
      </c>
      <c r="E501" s="61">
        <f>2.134-0.032-0.132-0.032-0.032-0.032-0.034-0.032-0.034-0.032-0.034-0.166-0.032-0.033</f>
        <v>1.4769999999999996</v>
      </c>
    </row>
    <row r="502" spans="1:5" ht="14.25" x14ac:dyDescent="0.2">
      <c r="A502" s="70" t="s">
        <v>647</v>
      </c>
      <c r="B502" s="22" t="s">
        <v>75</v>
      </c>
      <c r="C502" s="22" t="s">
        <v>388</v>
      </c>
      <c r="D502" s="22" t="s">
        <v>8</v>
      </c>
      <c r="E502" s="62">
        <f>2.096-0.096-0.29-0.192-0.048-0.048</f>
        <v>1.4219999999999999</v>
      </c>
    </row>
    <row r="503" spans="1:5" ht="28.5" x14ac:dyDescent="0.2">
      <c r="A503" s="70" t="s">
        <v>647</v>
      </c>
      <c r="B503" s="27" t="s">
        <v>75</v>
      </c>
      <c r="C503" s="27" t="s">
        <v>363</v>
      </c>
      <c r="D503" s="27" t="s">
        <v>9</v>
      </c>
      <c r="E503" s="61">
        <f>2.026-0.19-0.192-0.064-0.064-0.064-0.066-0.064-0.064-0.188-0.062-0.189-0.191-0.064</f>
        <v>0.56399999999999939</v>
      </c>
    </row>
    <row r="504" spans="1:5" ht="28.5" x14ac:dyDescent="0.2">
      <c r="A504" s="70" t="s">
        <v>647</v>
      </c>
      <c r="B504" s="8" t="s">
        <v>75</v>
      </c>
      <c r="C504" s="28" t="s">
        <v>298</v>
      </c>
      <c r="D504" s="27" t="s">
        <v>299</v>
      </c>
      <c r="E504" s="62">
        <f>1.16-0.29</f>
        <v>0.86999999999999988</v>
      </c>
    </row>
    <row r="505" spans="1:5" ht="28.5" x14ac:dyDescent="0.2">
      <c r="A505" s="70" t="s">
        <v>647</v>
      </c>
      <c r="B505" s="8" t="s">
        <v>75</v>
      </c>
      <c r="C505" s="28" t="s">
        <v>298</v>
      </c>
      <c r="D505" s="27" t="s">
        <v>615</v>
      </c>
      <c r="E505" s="62">
        <f>0.29-0.042-0.036-0.008-0.06-0.002-0.072</f>
        <v>6.9999999999999965E-2</v>
      </c>
    </row>
    <row r="506" spans="1:5" ht="28.5" x14ac:dyDescent="0.2">
      <c r="A506" s="70" t="s">
        <v>647</v>
      </c>
      <c r="B506" s="8" t="s">
        <v>75</v>
      </c>
      <c r="C506" s="28" t="s">
        <v>477</v>
      </c>
      <c r="D506" s="27" t="s">
        <v>66</v>
      </c>
      <c r="E506" s="62">
        <f>2.15</f>
        <v>2.15</v>
      </c>
    </row>
    <row r="507" spans="1:5" ht="28.5" x14ac:dyDescent="0.2">
      <c r="A507" s="70" t="s">
        <v>647</v>
      </c>
      <c r="B507" s="8" t="s">
        <v>75</v>
      </c>
      <c r="C507" s="28" t="s">
        <v>193</v>
      </c>
      <c r="D507" s="28" t="s">
        <v>207</v>
      </c>
      <c r="E507" s="60">
        <f>0.87-0.43-0.4</f>
        <v>3.999999999999998E-2</v>
      </c>
    </row>
    <row r="508" spans="1:5" ht="28.5" x14ac:dyDescent="0.2">
      <c r="A508" s="70" t="s">
        <v>647</v>
      </c>
      <c r="B508" s="8" t="s">
        <v>75</v>
      </c>
      <c r="C508" s="28" t="s">
        <v>193</v>
      </c>
      <c r="D508" s="28" t="s">
        <v>436</v>
      </c>
      <c r="E508" s="60">
        <f>0.43-0.106-0.018-0.002-0.022-0.036-0.108</f>
        <v>0.13799999999999996</v>
      </c>
    </row>
    <row r="509" spans="1:5" ht="28.5" x14ac:dyDescent="0.2">
      <c r="A509" s="70" t="s">
        <v>647</v>
      </c>
      <c r="B509" s="8" t="s">
        <v>75</v>
      </c>
      <c r="C509" s="28" t="s">
        <v>193</v>
      </c>
      <c r="D509" s="28" t="s">
        <v>207</v>
      </c>
      <c r="E509" s="60">
        <f>1.73-0.435-0.44</f>
        <v>0.85499999999999998</v>
      </c>
    </row>
    <row r="510" spans="1:5" ht="28.5" x14ac:dyDescent="0.2">
      <c r="A510" s="70" t="s">
        <v>647</v>
      </c>
      <c r="B510" s="8" t="s">
        <v>75</v>
      </c>
      <c r="C510" s="28" t="s">
        <v>298</v>
      </c>
      <c r="D510" s="28" t="s">
        <v>55</v>
      </c>
      <c r="E510" s="60">
        <f>1.69-0.844</f>
        <v>0.84599999999999997</v>
      </c>
    </row>
    <row r="511" spans="1:5" ht="28.5" x14ac:dyDescent="0.2">
      <c r="A511" s="70" t="s">
        <v>647</v>
      </c>
      <c r="B511" s="8" t="s">
        <v>75</v>
      </c>
      <c r="C511" s="28" t="s">
        <v>196</v>
      </c>
      <c r="D511" s="28" t="s">
        <v>194</v>
      </c>
      <c r="E511" s="60">
        <f>2.22-0.556-0.6</f>
        <v>1.0640000000000001</v>
      </c>
    </row>
    <row r="512" spans="1:5" ht="28.5" x14ac:dyDescent="0.2">
      <c r="A512" s="70" t="s">
        <v>647</v>
      </c>
      <c r="B512" s="8" t="s">
        <v>75</v>
      </c>
      <c r="C512" s="28" t="s">
        <v>196</v>
      </c>
      <c r="D512" s="28" t="s">
        <v>545</v>
      </c>
      <c r="E512" s="60">
        <f>0.556-0.048-0.023-0.001-0.046-0.002-0.024</f>
        <v>0.41199999999999998</v>
      </c>
    </row>
    <row r="513" spans="1:5" ht="28.5" x14ac:dyDescent="0.2">
      <c r="A513" s="70" t="s">
        <v>647</v>
      </c>
      <c r="B513" s="8" t="s">
        <v>75</v>
      </c>
      <c r="C513" s="28" t="s">
        <v>336</v>
      </c>
      <c r="D513" s="28" t="s">
        <v>337</v>
      </c>
      <c r="E513" s="60">
        <f>1.11</f>
        <v>1.1100000000000001</v>
      </c>
    </row>
    <row r="514" spans="1:5" ht="28.5" x14ac:dyDescent="0.2">
      <c r="A514" s="70" t="s">
        <v>647</v>
      </c>
      <c r="B514" s="8" t="s">
        <v>75</v>
      </c>
      <c r="C514" s="28" t="s">
        <v>336</v>
      </c>
      <c r="D514" s="28" t="s">
        <v>392</v>
      </c>
      <c r="E514" s="60">
        <f>0.44-0.14-0.002</f>
        <v>0.29799999999999999</v>
      </c>
    </row>
    <row r="515" spans="1:5" ht="28.5" x14ac:dyDescent="0.2">
      <c r="A515" s="70" t="s">
        <v>647</v>
      </c>
      <c r="B515" s="8" t="s">
        <v>75</v>
      </c>
      <c r="C515" s="28" t="s">
        <v>193</v>
      </c>
      <c r="D515" s="28" t="s">
        <v>109</v>
      </c>
      <c r="E515" s="60">
        <f>2.16-0.716</f>
        <v>1.4440000000000002</v>
      </c>
    </row>
    <row r="516" spans="1:5" ht="28.5" x14ac:dyDescent="0.2">
      <c r="A516" s="70" t="s">
        <v>647</v>
      </c>
      <c r="B516" s="8" t="s">
        <v>75</v>
      </c>
      <c r="C516" s="28" t="s">
        <v>193</v>
      </c>
      <c r="D516" s="28" t="s">
        <v>487</v>
      </c>
      <c r="E516" s="60">
        <f>0.716-0.244-0.061+0.003-0.048</f>
        <v>0.36599999999999999</v>
      </c>
    </row>
    <row r="517" spans="1:5" ht="28.5" x14ac:dyDescent="0.2">
      <c r="A517" s="70" t="s">
        <v>647</v>
      </c>
      <c r="B517" s="8" t="s">
        <v>75</v>
      </c>
      <c r="C517" s="28" t="s">
        <v>193</v>
      </c>
      <c r="D517" s="28" t="s">
        <v>367</v>
      </c>
      <c r="E517" s="60">
        <f>2.11</f>
        <v>2.11</v>
      </c>
    </row>
    <row r="518" spans="1:5" ht="28.5" x14ac:dyDescent="0.2">
      <c r="A518" s="70" t="s">
        <v>647</v>
      </c>
      <c r="B518" s="8" t="s">
        <v>75</v>
      </c>
      <c r="C518" s="28" t="s">
        <v>477</v>
      </c>
      <c r="D518" s="28" t="s">
        <v>367</v>
      </c>
      <c r="E518" s="60">
        <f>2.07</f>
        <v>2.0699999999999998</v>
      </c>
    </row>
    <row r="519" spans="1:5" ht="28.5" x14ac:dyDescent="0.2">
      <c r="A519" s="70" t="s">
        <v>647</v>
      </c>
      <c r="B519" s="8" t="s">
        <v>75</v>
      </c>
      <c r="C519" s="28" t="s">
        <v>276</v>
      </c>
      <c r="D519" s="28" t="s">
        <v>567</v>
      </c>
      <c r="E519" s="60">
        <f>0.59-0.07-0.036-0.07+0.002-0.07</f>
        <v>0.34600000000000003</v>
      </c>
    </row>
    <row r="520" spans="1:5" ht="28.5" x14ac:dyDescent="0.2">
      <c r="A520" s="70" t="s">
        <v>647</v>
      </c>
      <c r="B520" s="8" t="s">
        <v>75</v>
      </c>
      <c r="C520" s="28" t="s">
        <v>498</v>
      </c>
      <c r="D520" s="28" t="s">
        <v>195</v>
      </c>
      <c r="E520" s="59">
        <f>1.7-0.9</f>
        <v>0.79999999999999993</v>
      </c>
    </row>
    <row r="521" spans="1:5" ht="28.5" x14ac:dyDescent="0.2">
      <c r="A521" s="70" t="s">
        <v>647</v>
      </c>
      <c r="B521" s="8" t="s">
        <v>75</v>
      </c>
      <c r="C521" s="28" t="s">
        <v>85</v>
      </c>
      <c r="D521" s="28" t="s">
        <v>280</v>
      </c>
      <c r="E521" s="59">
        <f>2.94-0.992-0.9</f>
        <v>1.048</v>
      </c>
    </row>
    <row r="522" spans="1:5" ht="28.5" x14ac:dyDescent="0.2">
      <c r="A522" s="70" t="s">
        <v>647</v>
      </c>
      <c r="B522" s="8" t="s">
        <v>75</v>
      </c>
      <c r="C522" s="28" t="s">
        <v>85</v>
      </c>
      <c r="D522" s="28" t="s">
        <v>584</v>
      </c>
      <c r="E522" s="59">
        <f>0.992-0.048-0.192</f>
        <v>0.752</v>
      </c>
    </row>
    <row r="523" spans="1:5" ht="28.5" x14ac:dyDescent="0.2">
      <c r="A523" s="70" t="s">
        <v>647</v>
      </c>
      <c r="B523" s="8" t="s">
        <v>75</v>
      </c>
      <c r="C523" s="28" t="s">
        <v>85</v>
      </c>
      <c r="D523" s="28" t="s">
        <v>518</v>
      </c>
      <c r="E523" s="59">
        <f>0.048</f>
        <v>4.8000000000000001E-2</v>
      </c>
    </row>
    <row r="524" spans="1:5" ht="28.5" x14ac:dyDescent="0.2">
      <c r="A524" s="70" t="s">
        <v>647</v>
      </c>
      <c r="B524" s="8" t="s">
        <v>75</v>
      </c>
      <c r="C524" s="28" t="s">
        <v>478</v>
      </c>
      <c r="D524" s="28" t="s">
        <v>280</v>
      </c>
      <c r="E524" s="59">
        <f>1.85</f>
        <v>1.85</v>
      </c>
    </row>
    <row r="525" spans="1:5" ht="28.5" x14ac:dyDescent="0.2">
      <c r="A525" s="70" t="s">
        <v>647</v>
      </c>
      <c r="B525" s="8" t="s">
        <v>75</v>
      </c>
      <c r="C525" s="28" t="s">
        <v>85</v>
      </c>
      <c r="D525" s="28" t="s">
        <v>456</v>
      </c>
      <c r="E525" s="59">
        <f>2.85-0.956-0.95-0.028-0.03+0.006</f>
        <v>0.89200000000000013</v>
      </c>
    </row>
    <row r="526" spans="1:5" ht="28.5" x14ac:dyDescent="0.2">
      <c r="A526" s="70" t="s">
        <v>647</v>
      </c>
      <c r="B526" s="8" t="s">
        <v>75</v>
      </c>
      <c r="C526" s="28" t="s">
        <v>478</v>
      </c>
      <c r="D526" s="28" t="s">
        <v>479</v>
      </c>
      <c r="E526" s="59">
        <f>1.85-1</f>
        <v>0.85000000000000009</v>
      </c>
    </row>
    <row r="527" spans="1:5" ht="28.5" x14ac:dyDescent="0.2">
      <c r="A527" s="70" t="s">
        <v>647</v>
      </c>
      <c r="B527" s="8" t="s">
        <v>75</v>
      </c>
      <c r="C527" s="28" t="s">
        <v>87</v>
      </c>
      <c r="D527" s="28" t="s">
        <v>274</v>
      </c>
      <c r="E527" s="60">
        <f>4.1-1.044-1.018-1.018</f>
        <v>1.0199999999999994</v>
      </c>
    </row>
    <row r="528" spans="1:5" ht="28.5" x14ac:dyDescent="0.2">
      <c r="A528" s="70" t="s">
        <v>647</v>
      </c>
      <c r="B528" s="8" t="s">
        <v>75</v>
      </c>
      <c r="C528" s="28" t="s">
        <v>87</v>
      </c>
      <c r="D528" s="28" t="s">
        <v>432</v>
      </c>
      <c r="E528" s="60">
        <f>1.018-0.518</f>
        <v>0.5</v>
      </c>
    </row>
    <row r="529" spans="1:5" ht="28.5" x14ac:dyDescent="0.2">
      <c r="A529" s="70" t="s">
        <v>647</v>
      </c>
      <c r="B529" s="8" t="s">
        <v>75</v>
      </c>
      <c r="C529" s="28" t="s">
        <v>87</v>
      </c>
      <c r="D529" s="28" t="s">
        <v>553</v>
      </c>
      <c r="E529" s="60">
        <f>2.04-1.024-0.144+0.002-0.122-0.002-0.074-0.004-0.089-0.146-0.003-0.146-0.148</f>
        <v>0.14000000000000004</v>
      </c>
    </row>
    <row r="530" spans="1:5" ht="28.5" x14ac:dyDescent="0.2">
      <c r="A530" s="70" t="s">
        <v>647</v>
      </c>
      <c r="B530" s="8" t="s">
        <v>75</v>
      </c>
      <c r="C530" s="28" t="s">
        <v>452</v>
      </c>
      <c r="D530" s="28" t="s">
        <v>480</v>
      </c>
      <c r="E530" s="60">
        <f>3.01-1.009</f>
        <v>2.0009999999999999</v>
      </c>
    </row>
    <row r="531" spans="1:5" ht="28.5" x14ac:dyDescent="0.2">
      <c r="A531" s="70" t="s">
        <v>647</v>
      </c>
      <c r="B531" s="8" t="s">
        <v>75</v>
      </c>
      <c r="C531" s="28" t="s">
        <v>452</v>
      </c>
      <c r="D531" s="28" t="s">
        <v>583</v>
      </c>
      <c r="E531" s="60">
        <f>1.009-0.079</f>
        <v>0.92999999999999994</v>
      </c>
    </row>
    <row r="532" spans="1:5" ht="28.5" x14ac:dyDescent="0.2">
      <c r="A532" s="70" t="s">
        <v>647</v>
      </c>
      <c r="B532" s="8" t="s">
        <v>75</v>
      </c>
      <c r="C532" s="28" t="s">
        <v>452</v>
      </c>
      <c r="D532" s="28" t="s">
        <v>275</v>
      </c>
      <c r="E532" s="59">
        <f>5.06-1.01-1.012-1-1.01</f>
        <v>1.0279999999999998</v>
      </c>
    </row>
    <row r="533" spans="1:5" ht="28.5" x14ac:dyDescent="0.2">
      <c r="A533" s="70" t="s">
        <v>647</v>
      </c>
      <c r="B533" s="8" t="s">
        <v>75</v>
      </c>
      <c r="C533" s="28" t="s">
        <v>452</v>
      </c>
      <c r="D533" s="28" t="s">
        <v>523</v>
      </c>
      <c r="E533" s="59">
        <f>1.012-0.842</f>
        <v>0.17000000000000004</v>
      </c>
    </row>
    <row r="534" spans="1:5" ht="28.5" x14ac:dyDescent="0.2">
      <c r="A534" s="70" t="s">
        <v>647</v>
      </c>
      <c r="B534" s="8" t="s">
        <v>75</v>
      </c>
      <c r="C534" s="28" t="s">
        <v>452</v>
      </c>
      <c r="D534" s="28" t="s">
        <v>616</v>
      </c>
      <c r="E534" s="59">
        <f>1.01-0.2</f>
        <v>0.81</v>
      </c>
    </row>
    <row r="535" spans="1:5" ht="28.5" x14ac:dyDescent="0.2">
      <c r="A535" s="70" t="s">
        <v>647</v>
      </c>
      <c r="B535" s="8" t="s">
        <v>75</v>
      </c>
      <c r="C535" s="28" t="s">
        <v>87</v>
      </c>
      <c r="D535" s="28" t="s">
        <v>281</v>
      </c>
      <c r="E535" s="60">
        <f>4.4-1.106-1.124-1.12</f>
        <v>1.0500000000000003</v>
      </c>
    </row>
    <row r="536" spans="1:5" ht="28.5" x14ac:dyDescent="0.2">
      <c r="A536" s="70" t="s">
        <v>647</v>
      </c>
      <c r="B536" s="8" t="s">
        <v>75</v>
      </c>
      <c r="C536" s="28" t="s">
        <v>87</v>
      </c>
      <c r="D536" s="28" t="s">
        <v>617</v>
      </c>
      <c r="E536" s="60">
        <f>1.124-0.194-0.113-0.08+0.003</f>
        <v>0.74000000000000021</v>
      </c>
    </row>
    <row r="537" spans="1:5" ht="28.5" x14ac:dyDescent="0.2">
      <c r="A537" s="70" t="s">
        <v>647</v>
      </c>
      <c r="B537" s="8" t="s">
        <v>75</v>
      </c>
      <c r="C537" s="28" t="s">
        <v>452</v>
      </c>
      <c r="D537" s="28" t="s">
        <v>281</v>
      </c>
      <c r="E537" s="60">
        <f>5.44</f>
        <v>5.44</v>
      </c>
    </row>
    <row r="538" spans="1:5" ht="28.5" x14ac:dyDescent="0.2">
      <c r="A538" s="70" t="s">
        <v>647</v>
      </c>
      <c r="B538" s="8" t="s">
        <v>75</v>
      </c>
      <c r="C538" s="28" t="s">
        <v>87</v>
      </c>
      <c r="D538" s="28" t="s">
        <v>618</v>
      </c>
      <c r="E538" s="59">
        <f>2.24-1.108-0.15-0.03-0.3</f>
        <v>0.65200000000000014</v>
      </c>
    </row>
    <row r="539" spans="1:5" ht="28.5" x14ac:dyDescent="0.2">
      <c r="A539" s="70" t="s">
        <v>647</v>
      </c>
      <c r="B539" s="8" t="s">
        <v>75</v>
      </c>
      <c r="C539" s="28" t="s">
        <v>452</v>
      </c>
      <c r="D539" s="28" t="s">
        <v>481</v>
      </c>
      <c r="E539" s="59">
        <f>5.46-1.11</f>
        <v>4.3499999999999996</v>
      </c>
    </row>
    <row r="540" spans="1:5" ht="28.5" x14ac:dyDescent="0.2">
      <c r="A540" s="70" t="s">
        <v>647</v>
      </c>
      <c r="B540" s="8" t="s">
        <v>75</v>
      </c>
      <c r="C540" s="28" t="s">
        <v>452</v>
      </c>
      <c r="D540" s="28" t="s">
        <v>346</v>
      </c>
      <c r="E540" s="59">
        <f>5.5-1.03</f>
        <v>4.47</v>
      </c>
    </row>
    <row r="541" spans="1:5" ht="28.5" x14ac:dyDescent="0.2">
      <c r="A541" s="70" t="s">
        <v>647</v>
      </c>
      <c r="B541" s="8" t="s">
        <v>75</v>
      </c>
      <c r="C541" s="28" t="s">
        <v>452</v>
      </c>
      <c r="D541" s="28" t="s">
        <v>558</v>
      </c>
      <c r="E541" s="59">
        <f>1.03-0.106-0.242</f>
        <v>0.68200000000000005</v>
      </c>
    </row>
    <row r="542" spans="1:5" ht="14.25" x14ac:dyDescent="0.2">
      <c r="A542" s="71" t="s">
        <v>648</v>
      </c>
      <c r="B542" s="27" t="s">
        <v>295</v>
      </c>
      <c r="C542" s="27" t="s">
        <v>156</v>
      </c>
      <c r="D542" s="27">
        <v>200</v>
      </c>
      <c r="E542" s="61">
        <f>0.726-0.372-0.071-0.064-0.078</f>
        <v>0.14099999999999996</v>
      </c>
    </row>
    <row r="543" spans="1:5" ht="14.25" x14ac:dyDescent="0.2">
      <c r="A543" s="71" t="s">
        <v>648</v>
      </c>
      <c r="B543" s="27" t="s">
        <v>399</v>
      </c>
      <c r="C543" s="27" t="s">
        <v>401</v>
      </c>
      <c r="D543" s="27">
        <v>12</v>
      </c>
      <c r="E543" s="61">
        <f>1.23-0.24</f>
        <v>0.99</v>
      </c>
    </row>
    <row r="544" spans="1:5" ht="14.25" x14ac:dyDescent="0.2">
      <c r="A544" s="71" t="s">
        <v>648</v>
      </c>
      <c r="B544" s="27" t="s">
        <v>399</v>
      </c>
      <c r="C544" s="27" t="s">
        <v>401</v>
      </c>
      <c r="D544" s="27">
        <v>25</v>
      </c>
      <c r="E544" s="61">
        <f>0.72-0.484</f>
        <v>0.23599999999999999</v>
      </c>
    </row>
    <row r="545" spans="1:5" ht="14.25" x14ac:dyDescent="0.2">
      <c r="A545" s="71" t="s">
        <v>648</v>
      </c>
      <c r="B545" s="27" t="s">
        <v>400</v>
      </c>
      <c r="C545" s="27" t="s">
        <v>401</v>
      </c>
      <c r="D545" s="27">
        <v>40</v>
      </c>
      <c r="E545" s="61">
        <f>1.34-0.556</f>
        <v>0.78400000000000003</v>
      </c>
    </row>
    <row r="546" spans="1:5" ht="14.25" x14ac:dyDescent="0.2">
      <c r="A546" s="71" t="s">
        <v>648</v>
      </c>
      <c r="B546" s="27" t="s">
        <v>4</v>
      </c>
      <c r="C546" s="27" t="s">
        <v>250</v>
      </c>
      <c r="D546" s="27">
        <v>170</v>
      </c>
      <c r="E546" s="61">
        <f>0.609-0.074</f>
        <v>0.53500000000000003</v>
      </c>
    </row>
    <row r="547" spans="1:5" ht="14.25" x14ac:dyDescent="0.2">
      <c r="A547" s="71" t="s">
        <v>648</v>
      </c>
      <c r="B547" s="27" t="s">
        <v>4</v>
      </c>
      <c r="C547" s="27" t="s">
        <v>255</v>
      </c>
      <c r="D547" s="27">
        <v>180</v>
      </c>
      <c r="E547" s="61">
        <f>0.672-0.07-0.016-0.07-0.216</f>
        <v>0.30000000000000004</v>
      </c>
    </row>
    <row r="548" spans="1:5" ht="14.25" x14ac:dyDescent="0.2">
      <c r="A548" s="71" t="s">
        <v>648</v>
      </c>
      <c r="B548" s="25" t="s">
        <v>6</v>
      </c>
      <c r="C548" s="25" t="s">
        <v>252</v>
      </c>
      <c r="D548" s="25">
        <v>34</v>
      </c>
      <c r="E548" s="44">
        <f>0.037</f>
        <v>3.6999999999999998E-2</v>
      </c>
    </row>
    <row r="549" spans="1:5" ht="14.25" x14ac:dyDescent="0.2">
      <c r="A549" s="71" t="s">
        <v>648</v>
      </c>
      <c r="B549" s="25" t="s">
        <v>6</v>
      </c>
      <c r="C549" s="27" t="s">
        <v>252</v>
      </c>
      <c r="D549" s="27">
        <v>250</v>
      </c>
      <c r="E549" s="61">
        <f>1.19-0.42-0.392-0.154</f>
        <v>0.224</v>
      </c>
    </row>
    <row r="550" spans="1:5" ht="14.25" x14ac:dyDescent="0.2">
      <c r="A550" s="71" t="s">
        <v>648</v>
      </c>
      <c r="B550" s="25" t="s">
        <v>138</v>
      </c>
      <c r="C550" s="25" t="s">
        <v>139</v>
      </c>
      <c r="D550" s="25">
        <v>15</v>
      </c>
      <c r="E550" s="44">
        <f>0.496-0.016</f>
        <v>0.48</v>
      </c>
    </row>
    <row r="551" spans="1:5" ht="14.25" x14ac:dyDescent="0.2">
      <c r="A551" s="71" t="s">
        <v>648</v>
      </c>
      <c r="B551" s="7" t="s">
        <v>15</v>
      </c>
      <c r="C551" s="25" t="s">
        <v>208</v>
      </c>
      <c r="D551" s="24" t="s">
        <v>165</v>
      </c>
      <c r="E551" s="44">
        <v>0.1</v>
      </c>
    </row>
    <row r="552" spans="1:5" ht="14.25" x14ac:dyDescent="0.2">
      <c r="A552" s="71" t="s">
        <v>648</v>
      </c>
      <c r="B552" s="7" t="s">
        <v>15</v>
      </c>
      <c r="C552" s="25" t="s">
        <v>133</v>
      </c>
      <c r="D552" s="24" t="s">
        <v>132</v>
      </c>
      <c r="E552" s="44">
        <f>0.081-0.006</f>
        <v>7.4999999999999997E-2</v>
      </c>
    </row>
    <row r="553" spans="1:5" ht="14.25" x14ac:dyDescent="0.2">
      <c r="A553" s="71" t="s">
        <v>648</v>
      </c>
      <c r="B553" s="7" t="s">
        <v>15</v>
      </c>
      <c r="C553" s="25" t="s">
        <v>131</v>
      </c>
      <c r="D553" s="25">
        <v>15</v>
      </c>
      <c r="E553" s="58">
        <f>0.41-0.012-0.2-0.09</f>
        <v>0.10799999999999996</v>
      </c>
    </row>
    <row r="554" spans="1:5" ht="14.25" x14ac:dyDescent="0.2">
      <c r="A554" s="71" t="s">
        <v>648</v>
      </c>
      <c r="B554" s="7" t="s">
        <v>15</v>
      </c>
      <c r="C554" s="25" t="s">
        <v>131</v>
      </c>
      <c r="D554" s="25">
        <v>120</v>
      </c>
      <c r="E554" s="58">
        <f>0.124</f>
        <v>0.124</v>
      </c>
    </row>
    <row r="555" spans="1:5" ht="14.25" x14ac:dyDescent="0.2">
      <c r="A555" s="71" t="s">
        <v>648</v>
      </c>
      <c r="B555" s="7" t="s">
        <v>15</v>
      </c>
      <c r="C555" s="25" t="s">
        <v>131</v>
      </c>
      <c r="D555" s="25">
        <v>160</v>
      </c>
      <c r="E555" s="58">
        <f>0.178</f>
        <v>0.17799999999999999</v>
      </c>
    </row>
    <row r="556" spans="1:5" ht="14.25" x14ac:dyDescent="0.2">
      <c r="A556" s="71" t="s">
        <v>648</v>
      </c>
      <c r="B556" s="7" t="s">
        <v>15</v>
      </c>
      <c r="C556" s="25" t="s">
        <v>131</v>
      </c>
      <c r="D556" s="25">
        <v>180</v>
      </c>
      <c r="E556" s="58">
        <f>0.272</f>
        <v>0.27200000000000002</v>
      </c>
    </row>
    <row r="557" spans="1:5" ht="14.25" x14ac:dyDescent="0.2">
      <c r="A557" s="71" t="s">
        <v>648</v>
      </c>
      <c r="B557" s="7" t="s">
        <v>15</v>
      </c>
      <c r="C557" s="25" t="s">
        <v>131</v>
      </c>
      <c r="D557" s="25">
        <v>190</v>
      </c>
      <c r="E557" s="58">
        <f>0.226</f>
        <v>0.22600000000000001</v>
      </c>
    </row>
    <row r="558" spans="1:5" ht="14.25" x14ac:dyDescent="0.2">
      <c r="A558" s="71" t="s">
        <v>648</v>
      </c>
      <c r="B558" s="7" t="s">
        <v>15</v>
      </c>
      <c r="C558" s="25" t="s">
        <v>131</v>
      </c>
      <c r="D558" s="25">
        <v>250</v>
      </c>
      <c r="E558" s="58">
        <f>0.955-0.76</f>
        <v>0.19499999999999995</v>
      </c>
    </row>
    <row r="559" spans="1:5" ht="14.25" x14ac:dyDescent="0.2">
      <c r="A559" s="71" t="s">
        <v>648</v>
      </c>
      <c r="B559" s="25" t="s">
        <v>333</v>
      </c>
      <c r="C559" s="25" t="s">
        <v>335</v>
      </c>
      <c r="D559" s="25" t="s">
        <v>334</v>
      </c>
      <c r="E559" s="44">
        <f>0.43</f>
        <v>0.43</v>
      </c>
    </row>
    <row r="560" spans="1:5" ht="14.25" x14ac:dyDescent="0.2">
      <c r="A560" s="71" t="s">
        <v>648</v>
      </c>
      <c r="B560" s="25" t="s">
        <v>529</v>
      </c>
      <c r="C560" s="25" t="s">
        <v>564</v>
      </c>
      <c r="D560" s="25">
        <v>20</v>
      </c>
      <c r="E560" s="44">
        <f>0.385-0.101-0.05</f>
        <v>0.23400000000000004</v>
      </c>
    </row>
    <row r="561" spans="1:5" ht="14.25" x14ac:dyDescent="0.2">
      <c r="A561" s="71" t="s">
        <v>648</v>
      </c>
      <c r="B561" s="25" t="s">
        <v>134</v>
      </c>
      <c r="C561" s="25" t="s">
        <v>131</v>
      </c>
      <c r="D561" s="25">
        <v>20</v>
      </c>
      <c r="E561" s="44">
        <f>0.046</f>
        <v>4.5999999999999999E-2</v>
      </c>
    </row>
    <row r="562" spans="1:5" ht="14.25" x14ac:dyDescent="0.2">
      <c r="A562" s="71" t="s">
        <v>648</v>
      </c>
      <c r="B562" s="25" t="s">
        <v>231</v>
      </c>
      <c r="C562" s="29" t="s">
        <v>197</v>
      </c>
      <c r="D562" s="27">
        <v>120</v>
      </c>
      <c r="E562" s="61">
        <f>2.157-0.3-0.108-0.06</f>
        <v>1.6889999999999998</v>
      </c>
    </row>
    <row r="563" spans="1:5" ht="14.25" x14ac:dyDescent="0.2">
      <c r="A563" s="71" t="s">
        <v>648</v>
      </c>
      <c r="B563" s="25" t="s">
        <v>373</v>
      </c>
      <c r="C563" s="29" t="s">
        <v>197</v>
      </c>
      <c r="D563" s="27">
        <v>130</v>
      </c>
      <c r="E563" s="62">
        <f>0.371</f>
        <v>0.371</v>
      </c>
    </row>
    <row r="564" spans="1:5" ht="14.25" x14ac:dyDescent="0.2">
      <c r="A564" s="71" t="s">
        <v>648</v>
      </c>
      <c r="B564" s="25" t="s">
        <v>373</v>
      </c>
      <c r="C564" s="29" t="s">
        <v>197</v>
      </c>
      <c r="D564" s="27">
        <v>140</v>
      </c>
      <c r="E564" s="62">
        <f>2.485-0.002</f>
        <v>2.4830000000000001</v>
      </c>
    </row>
    <row r="565" spans="1:5" ht="14.25" x14ac:dyDescent="0.2">
      <c r="A565" s="71" t="s">
        <v>648</v>
      </c>
      <c r="B565" s="25" t="s">
        <v>373</v>
      </c>
      <c r="C565" s="29" t="s">
        <v>197</v>
      </c>
      <c r="D565" s="27">
        <v>150</v>
      </c>
      <c r="E565" s="62">
        <f>2.347-0.002-0.458</f>
        <v>1.8870000000000002</v>
      </c>
    </row>
    <row r="566" spans="1:5" ht="14.25" x14ac:dyDescent="0.2">
      <c r="A566" s="71" t="s">
        <v>648</v>
      </c>
      <c r="B566" s="25" t="s">
        <v>373</v>
      </c>
      <c r="C566" s="29" t="s">
        <v>197</v>
      </c>
      <c r="D566" s="27">
        <v>170</v>
      </c>
      <c r="E566" s="62">
        <f>1.947</f>
        <v>1.9470000000000001</v>
      </c>
    </row>
    <row r="567" spans="1:5" ht="14.25" x14ac:dyDescent="0.2">
      <c r="A567" s="71" t="s">
        <v>648</v>
      </c>
      <c r="B567" s="25" t="s">
        <v>373</v>
      </c>
      <c r="C567" s="29" t="s">
        <v>197</v>
      </c>
      <c r="D567" s="27">
        <v>180</v>
      </c>
      <c r="E567" s="62">
        <f>2.617</f>
        <v>2.617</v>
      </c>
    </row>
    <row r="568" spans="1:5" ht="14.25" x14ac:dyDescent="0.2">
      <c r="A568" s="71" t="s">
        <v>648</v>
      </c>
      <c r="B568" s="25" t="s">
        <v>373</v>
      </c>
      <c r="C568" s="29" t="s">
        <v>197</v>
      </c>
      <c r="D568" s="27">
        <v>200</v>
      </c>
      <c r="E568" s="62">
        <f>2.633-0.084-0.512</f>
        <v>2.0369999999999999</v>
      </c>
    </row>
    <row r="569" spans="1:5" ht="14.25" x14ac:dyDescent="0.2">
      <c r="A569" s="71" t="s">
        <v>648</v>
      </c>
      <c r="B569" s="25" t="s">
        <v>373</v>
      </c>
      <c r="C569" s="29" t="s">
        <v>197</v>
      </c>
      <c r="D569" s="27" t="s">
        <v>294</v>
      </c>
      <c r="E569" s="62">
        <f>3.01</f>
        <v>3.01</v>
      </c>
    </row>
    <row r="570" spans="1:5" ht="14.25" x14ac:dyDescent="0.2">
      <c r="A570" s="71" t="s">
        <v>648</v>
      </c>
      <c r="B570" s="6" t="s">
        <v>26</v>
      </c>
      <c r="C570" s="25" t="s">
        <v>131</v>
      </c>
      <c r="D570" s="13">
        <v>15</v>
      </c>
      <c r="E570" s="57">
        <f>0.41-0.008-0.034-0.05</f>
        <v>0.318</v>
      </c>
    </row>
    <row r="571" spans="1:5" ht="14.25" x14ac:dyDescent="0.2">
      <c r="A571" s="71" t="s">
        <v>648</v>
      </c>
      <c r="B571" s="6" t="s">
        <v>26</v>
      </c>
      <c r="C571" s="25" t="s">
        <v>131</v>
      </c>
      <c r="D571" s="13">
        <v>26</v>
      </c>
      <c r="E571" s="57">
        <f>0.41-0.162-0.044-0.023-0.024</f>
        <v>0.15699999999999997</v>
      </c>
    </row>
    <row r="572" spans="1:5" ht="14.25" x14ac:dyDescent="0.2">
      <c r="A572" s="71" t="s">
        <v>648</v>
      </c>
      <c r="B572" s="6" t="s">
        <v>26</v>
      </c>
      <c r="C572" s="25" t="s">
        <v>131</v>
      </c>
      <c r="D572" s="13">
        <v>32</v>
      </c>
      <c r="E572" s="57">
        <f>0.26</f>
        <v>0.26</v>
      </c>
    </row>
    <row r="573" spans="1:5" ht="14.25" x14ac:dyDescent="0.2">
      <c r="A573" s="71" t="s">
        <v>648</v>
      </c>
      <c r="B573" s="6" t="s">
        <v>26</v>
      </c>
      <c r="C573" s="25" t="s">
        <v>131</v>
      </c>
      <c r="D573" s="13">
        <v>56</v>
      </c>
      <c r="E573" s="57">
        <f>0.096</f>
        <v>9.6000000000000002E-2</v>
      </c>
    </row>
    <row r="574" spans="1:5" ht="28.5" x14ac:dyDescent="0.2">
      <c r="A574" s="71" t="s">
        <v>648</v>
      </c>
      <c r="B574" s="6" t="s">
        <v>26</v>
      </c>
      <c r="C574" s="25" t="s">
        <v>251</v>
      </c>
      <c r="D574" s="13">
        <v>190</v>
      </c>
      <c r="E574" s="57">
        <f>0.785</f>
        <v>0.78500000000000003</v>
      </c>
    </row>
    <row r="575" spans="1:5" ht="14.25" x14ac:dyDescent="0.2">
      <c r="A575" s="71" t="s">
        <v>648</v>
      </c>
      <c r="B575" s="6" t="s">
        <v>26</v>
      </c>
      <c r="C575" s="1" t="s">
        <v>71</v>
      </c>
      <c r="D575" s="13" t="s">
        <v>39</v>
      </c>
      <c r="E575" s="57">
        <v>0.25</v>
      </c>
    </row>
    <row r="576" spans="1:5" ht="14.25" x14ac:dyDescent="0.2">
      <c r="A576" s="71" t="s">
        <v>648</v>
      </c>
      <c r="B576" s="17" t="s">
        <v>26</v>
      </c>
      <c r="C576" s="13" t="s">
        <v>320</v>
      </c>
      <c r="D576" s="13" t="s">
        <v>291</v>
      </c>
      <c r="E576" s="49">
        <f>1.936-0.262-0.422-0.04-0.172-0.03-0.076+0.236-0.149-0.2</f>
        <v>0.82099999999999995</v>
      </c>
    </row>
    <row r="577" spans="1:5" ht="14.25" x14ac:dyDescent="0.2">
      <c r="A577" s="71" t="s">
        <v>648</v>
      </c>
      <c r="B577" s="17" t="s">
        <v>26</v>
      </c>
      <c r="C577" s="13" t="s">
        <v>320</v>
      </c>
      <c r="D577" s="6" t="s">
        <v>316</v>
      </c>
      <c r="E577" s="47">
        <f>0.578-0.352-0.03-0.034+0.162</f>
        <v>0.32399999999999995</v>
      </c>
    </row>
    <row r="578" spans="1:5" ht="14.25" x14ac:dyDescent="0.2">
      <c r="A578" s="71" t="s">
        <v>648</v>
      </c>
      <c r="B578" s="17" t="s">
        <v>26</v>
      </c>
      <c r="C578" s="13" t="s">
        <v>320</v>
      </c>
      <c r="D578" s="13" t="s">
        <v>292</v>
      </c>
      <c r="E578" s="49">
        <f>2.874-0.684-0.324-0.692-0.216-0.184</f>
        <v>0.77400000000000002</v>
      </c>
    </row>
    <row r="579" spans="1:5" ht="14.25" x14ac:dyDescent="0.2">
      <c r="A579" s="71" t="s">
        <v>648</v>
      </c>
      <c r="B579" s="17" t="s">
        <v>26</v>
      </c>
      <c r="C579" s="13" t="s">
        <v>320</v>
      </c>
      <c r="D579" s="6" t="s">
        <v>179</v>
      </c>
      <c r="E579" s="47">
        <f>3.904-0.227-0.492-0.538-0.63-0.234-0.492</f>
        <v>1.2910000000000004</v>
      </c>
    </row>
    <row r="580" spans="1:5" ht="14.25" x14ac:dyDescent="0.2">
      <c r="A580" s="71" t="s">
        <v>648</v>
      </c>
      <c r="B580" s="17" t="s">
        <v>26</v>
      </c>
      <c r="C580" s="13" t="s">
        <v>186</v>
      </c>
      <c r="D580" s="6" t="s">
        <v>228</v>
      </c>
      <c r="E580" s="47">
        <f>0.116</f>
        <v>0.11600000000000001</v>
      </c>
    </row>
    <row r="581" spans="1:5" ht="14.25" x14ac:dyDescent="0.2">
      <c r="A581" s="71" t="s">
        <v>648</v>
      </c>
      <c r="B581" s="17" t="s">
        <v>26</v>
      </c>
      <c r="C581" s="13" t="s">
        <v>186</v>
      </c>
      <c r="D581" s="6" t="s">
        <v>181</v>
      </c>
      <c r="E581" s="47">
        <f>1.949-0.881-0.596-0.152-0.072-0.002-0.06</f>
        <v>0.18600000000000005</v>
      </c>
    </row>
    <row r="582" spans="1:5" ht="14.25" x14ac:dyDescent="0.2">
      <c r="A582" s="71" t="s">
        <v>648</v>
      </c>
      <c r="B582" s="17" t="s">
        <v>26</v>
      </c>
      <c r="C582" s="13" t="s">
        <v>320</v>
      </c>
      <c r="D582" s="6" t="s">
        <v>181</v>
      </c>
      <c r="E582" s="47">
        <f>1.29-0.118-0.798-0.064</f>
        <v>0.31000000000000011</v>
      </c>
    </row>
    <row r="583" spans="1:5" ht="14.25" x14ac:dyDescent="0.2">
      <c r="A583" s="71" t="s">
        <v>648</v>
      </c>
      <c r="B583" s="17" t="s">
        <v>26</v>
      </c>
      <c r="C583" s="13" t="s">
        <v>320</v>
      </c>
      <c r="D583" s="6" t="s">
        <v>293</v>
      </c>
      <c r="E583" s="47">
        <f>2.426-1.432</f>
        <v>0.99400000000000022</v>
      </c>
    </row>
    <row r="584" spans="1:5" ht="14.25" x14ac:dyDescent="0.2">
      <c r="A584" s="71" t="s">
        <v>648</v>
      </c>
      <c r="B584" s="17" t="s">
        <v>26</v>
      </c>
      <c r="C584" s="13" t="s">
        <v>186</v>
      </c>
      <c r="D584" s="6" t="s">
        <v>265</v>
      </c>
      <c r="E584" s="47">
        <v>0.66500000000000004</v>
      </c>
    </row>
    <row r="585" spans="1:5" ht="14.25" x14ac:dyDescent="0.2">
      <c r="A585" s="71" t="s">
        <v>648</v>
      </c>
      <c r="B585" s="17" t="s">
        <v>26</v>
      </c>
      <c r="C585" s="13" t="s">
        <v>256</v>
      </c>
      <c r="D585" s="6" t="s">
        <v>171</v>
      </c>
      <c r="E585" s="47">
        <f>1.926-0.392-0.744</f>
        <v>0.78999999999999981</v>
      </c>
    </row>
    <row r="586" spans="1:5" ht="14.25" x14ac:dyDescent="0.2">
      <c r="A586" s="71" t="s">
        <v>648</v>
      </c>
      <c r="B586" s="17" t="s">
        <v>26</v>
      </c>
      <c r="C586" s="13" t="s">
        <v>256</v>
      </c>
      <c r="D586" s="6" t="s">
        <v>183</v>
      </c>
      <c r="E586" s="47">
        <f>2.866-0.28-0.608-0.912-0.898</f>
        <v>0.16800000000000026</v>
      </c>
    </row>
    <row r="587" spans="1:5" ht="14.25" x14ac:dyDescent="0.2">
      <c r="A587" s="71" t="s">
        <v>648</v>
      </c>
      <c r="B587" s="17" t="s">
        <v>185</v>
      </c>
      <c r="C587" s="13" t="s">
        <v>256</v>
      </c>
      <c r="D587" s="1" t="s">
        <v>184</v>
      </c>
      <c r="E587" s="63">
        <f>8.41-0.027-0.552-0.082-0.049-0.167-0.076-0.088-0.066-0.472-0.236-0.236-3.156</f>
        <v>3.2030000000000016</v>
      </c>
    </row>
    <row r="588" spans="1:5" ht="14.25" x14ac:dyDescent="0.2">
      <c r="A588" s="71" t="s">
        <v>648</v>
      </c>
      <c r="B588" s="17" t="s">
        <v>185</v>
      </c>
      <c r="C588" s="13" t="s">
        <v>256</v>
      </c>
      <c r="D588" s="1" t="s">
        <v>576</v>
      </c>
      <c r="E588" s="63">
        <f>0.236-0.17</f>
        <v>6.5999999999999975E-2</v>
      </c>
    </row>
    <row r="589" spans="1:5" ht="14.25" x14ac:dyDescent="0.2">
      <c r="A589" s="71" t="s">
        <v>648</v>
      </c>
      <c r="B589" s="28" t="s">
        <v>170</v>
      </c>
      <c r="C589" s="8" t="s">
        <v>239</v>
      </c>
      <c r="D589" s="40">
        <v>100</v>
      </c>
      <c r="E589" s="59">
        <f>1.226-0.208-0.102</f>
        <v>0.91600000000000004</v>
      </c>
    </row>
    <row r="590" spans="1:5" ht="14.25" x14ac:dyDescent="0.2">
      <c r="A590" s="71" t="s">
        <v>648</v>
      </c>
      <c r="B590" s="28" t="s">
        <v>170</v>
      </c>
      <c r="C590" s="8" t="s">
        <v>239</v>
      </c>
      <c r="D590" s="40">
        <v>160</v>
      </c>
      <c r="E590" s="59">
        <f>2.603-0.925-0.921</f>
        <v>0.75700000000000012</v>
      </c>
    </row>
    <row r="591" spans="1:5" ht="14.25" x14ac:dyDescent="0.2">
      <c r="A591" s="71" t="s">
        <v>648</v>
      </c>
      <c r="B591" s="28" t="s">
        <v>170</v>
      </c>
      <c r="C591" s="8" t="s">
        <v>172</v>
      </c>
      <c r="D591" s="40" t="s">
        <v>171</v>
      </c>
      <c r="E591" s="59">
        <f>1.933-0.36-0.354</f>
        <v>1.2189999999999999</v>
      </c>
    </row>
    <row r="592" spans="1:5" ht="14.25" x14ac:dyDescent="0.2">
      <c r="A592" s="71" t="s">
        <v>648</v>
      </c>
      <c r="B592" s="6" t="s">
        <v>77</v>
      </c>
      <c r="C592" s="1" t="s">
        <v>131</v>
      </c>
      <c r="D592" s="13">
        <v>50</v>
      </c>
      <c r="E592" s="57">
        <f>2.375+2.115-0.304-0.066-1-0.945-0.06-0.775</f>
        <v>1.3400000000000003</v>
      </c>
    </row>
    <row r="593" spans="1:5" ht="14.25" x14ac:dyDescent="0.2">
      <c r="A593" s="71" t="s">
        <v>648</v>
      </c>
      <c r="B593" s="6" t="s">
        <v>249</v>
      </c>
      <c r="C593" s="25" t="s">
        <v>187</v>
      </c>
      <c r="D593" s="13">
        <v>100</v>
      </c>
      <c r="E593" s="57">
        <f>0.756-0.346-0.001-0.112</f>
        <v>0.29700000000000004</v>
      </c>
    </row>
    <row r="594" spans="1:5" ht="14.25" x14ac:dyDescent="0.2">
      <c r="A594" s="71" t="s">
        <v>648</v>
      </c>
      <c r="B594" s="6" t="s">
        <v>249</v>
      </c>
      <c r="C594" s="25" t="s">
        <v>187</v>
      </c>
      <c r="D594" s="13">
        <v>120</v>
      </c>
      <c r="E594" s="57">
        <f>0.246+0.26+0.318</f>
        <v>0.82400000000000007</v>
      </c>
    </row>
    <row r="595" spans="1:5" ht="14.25" x14ac:dyDescent="0.2">
      <c r="A595" s="71" t="s">
        <v>648</v>
      </c>
      <c r="B595" s="6" t="s">
        <v>249</v>
      </c>
      <c r="C595" s="25" t="s">
        <v>187</v>
      </c>
      <c r="D595" s="13">
        <v>180</v>
      </c>
      <c r="E595" s="57">
        <f>0.948-0.004-0.292</f>
        <v>0.65199999999999991</v>
      </c>
    </row>
    <row r="596" spans="1:5" ht="14.25" x14ac:dyDescent="0.2">
      <c r="A596" s="71" t="s">
        <v>648</v>
      </c>
      <c r="B596" s="6" t="s">
        <v>249</v>
      </c>
      <c r="C596" s="25" t="s">
        <v>166</v>
      </c>
      <c r="D596" s="13">
        <v>280</v>
      </c>
      <c r="E596" s="57">
        <f>2.522-0.816-0.736</f>
        <v>0.97</v>
      </c>
    </row>
    <row r="597" spans="1:5" ht="14.25" x14ac:dyDescent="0.2">
      <c r="A597" s="71" t="s">
        <v>648</v>
      </c>
      <c r="B597" s="6" t="s">
        <v>249</v>
      </c>
      <c r="C597" s="25" t="s">
        <v>240</v>
      </c>
      <c r="D597" s="13">
        <v>380</v>
      </c>
      <c r="E597" s="57">
        <f>3.09-1.794-0.763</f>
        <v>0.53299999999999981</v>
      </c>
    </row>
    <row r="598" spans="1:5" ht="14.25" x14ac:dyDescent="0.2">
      <c r="A598" s="71" t="s">
        <v>648</v>
      </c>
      <c r="B598" s="6" t="s">
        <v>268</v>
      </c>
      <c r="C598" s="35" t="s">
        <v>307</v>
      </c>
      <c r="D598" s="13" t="s">
        <v>189</v>
      </c>
      <c r="E598" s="57">
        <f>1.982-0.586-0.116-0.026-0.016-0.015-0.015-0.232-0.015-0.015-0.03-0.016-0.03</f>
        <v>0.86999999999999988</v>
      </c>
    </row>
    <row r="599" spans="1:5" ht="14.25" x14ac:dyDescent="0.2">
      <c r="A599" s="71" t="s">
        <v>648</v>
      </c>
      <c r="B599" s="6" t="s">
        <v>268</v>
      </c>
      <c r="C599" s="35" t="s">
        <v>307</v>
      </c>
      <c r="D599" s="13" t="s">
        <v>237</v>
      </c>
      <c r="E599" s="57">
        <f>1.74-0.022-0.016-0.198-0.024-0.022</f>
        <v>1.458</v>
      </c>
    </row>
    <row r="600" spans="1:5" ht="14.25" x14ac:dyDescent="0.2">
      <c r="A600" s="71" t="s">
        <v>648</v>
      </c>
      <c r="B600" s="6" t="s">
        <v>268</v>
      </c>
      <c r="C600" s="35" t="s">
        <v>307</v>
      </c>
      <c r="D600" s="13" t="s">
        <v>237</v>
      </c>
      <c r="E600" s="57">
        <f>0.26</f>
        <v>0.26</v>
      </c>
    </row>
    <row r="601" spans="1:5" ht="14.25" x14ac:dyDescent="0.2">
      <c r="A601" s="71" t="s">
        <v>648</v>
      </c>
      <c r="B601" s="6" t="s">
        <v>268</v>
      </c>
      <c r="C601" s="35" t="s">
        <v>307</v>
      </c>
      <c r="D601" s="13" t="s">
        <v>269</v>
      </c>
      <c r="E601" s="57">
        <f>2.174</f>
        <v>2.1739999999999999</v>
      </c>
    </row>
    <row r="602" spans="1:5" ht="14.25" x14ac:dyDescent="0.2">
      <c r="A602" s="71" t="s">
        <v>648</v>
      </c>
      <c r="B602" s="6" t="s">
        <v>268</v>
      </c>
      <c r="C602" s="35" t="s">
        <v>307</v>
      </c>
      <c r="D602" s="13" t="s">
        <v>176</v>
      </c>
      <c r="E602" s="57">
        <f>1.706</f>
        <v>1.706</v>
      </c>
    </row>
    <row r="603" spans="1:5" ht="14.25" x14ac:dyDescent="0.2">
      <c r="A603" s="71" t="s">
        <v>648</v>
      </c>
      <c r="B603" s="6" t="s">
        <v>268</v>
      </c>
      <c r="C603" s="35" t="s">
        <v>307</v>
      </c>
      <c r="D603" s="13" t="s">
        <v>176</v>
      </c>
      <c r="E603" s="57">
        <f>0.388</f>
        <v>0.38800000000000001</v>
      </c>
    </row>
    <row r="604" spans="1:5" ht="14.25" x14ac:dyDescent="0.2">
      <c r="A604" s="71" t="s">
        <v>648</v>
      </c>
      <c r="B604" s="6" t="s">
        <v>268</v>
      </c>
      <c r="C604" s="35" t="s">
        <v>307</v>
      </c>
      <c r="D604" s="13" t="s">
        <v>238</v>
      </c>
      <c r="E604" s="57">
        <f>1.73-0.02-0.027-0.114-0.33</f>
        <v>1.2389999999999999</v>
      </c>
    </row>
    <row r="605" spans="1:5" ht="14.25" x14ac:dyDescent="0.2">
      <c r="A605" s="71" t="s">
        <v>648</v>
      </c>
      <c r="B605" s="6" t="s">
        <v>268</v>
      </c>
      <c r="C605" s="35" t="s">
        <v>307</v>
      </c>
      <c r="D605" s="13" t="s">
        <v>190</v>
      </c>
      <c r="E605" s="57">
        <f>2.43-0.158-0.341-0.126-0.448-0.136</f>
        <v>1.2210000000000001</v>
      </c>
    </row>
    <row r="606" spans="1:5" ht="14.25" x14ac:dyDescent="0.2">
      <c r="A606" s="71" t="s">
        <v>648</v>
      </c>
      <c r="B606" s="6" t="s">
        <v>268</v>
      </c>
      <c r="C606" s="35" t="s">
        <v>307</v>
      </c>
      <c r="D606" s="13" t="s">
        <v>314</v>
      </c>
      <c r="E606" s="57">
        <f>0.335-0.073</f>
        <v>0.26200000000000001</v>
      </c>
    </row>
    <row r="607" spans="1:5" ht="14.25" x14ac:dyDescent="0.2">
      <c r="A607" s="71" t="s">
        <v>648</v>
      </c>
      <c r="B607" s="6" t="s">
        <v>268</v>
      </c>
      <c r="C607" s="35" t="s">
        <v>307</v>
      </c>
      <c r="D607" s="13" t="s">
        <v>272</v>
      </c>
      <c r="E607" s="57">
        <f>1.722</f>
        <v>1.722</v>
      </c>
    </row>
    <row r="608" spans="1:5" ht="14.25" x14ac:dyDescent="0.2">
      <c r="A608" s="71" t="s">
        <v>648</v>
      </c>
      <c r="B608" s="6" t="s">
        <v>268</v>
      </c>
      <c r="C608" s="35" t="s">
        <v>307</v>
      </c>
      <c r="D608" s="13" t="s">
        <v>312</v>
      </c>
      <c r="E608" s="57">
        <f>2.48-0.47-0.119-0.005-0.08-1.278-0.328</f>
        <v>0.19999999999999979</v>
      </c>
    </row>
    <row r="609" spans="1:5" ht="14.25" x14ac:dyDescent="0.2">
      <c r="A609" s="71" t="s">
        <v>648</v>
      </c>
      <c r="B609" s="6" t="s">
        <v>268</v>
      </c>
      <c r="C609" s="35" t="s">
        <v>307</v>
      </c>
      <c r="D609" s="13" t="s">
        <v>313</v>
      </c>
      <c r="E609" s="57">
        <f>0.119</f>
        <v>0.11899999999999999</v>
      </c>
    </row>
    <row r="610" spans="1:5" ht="14.25" x14ac:dyDescent="0.2">
      <c r="A610" s="71" t="s">
        <v>648</v>
      </c>
      <c r="B610" s="6" t="s">
        <v>268</v>
      </c>
      <c r="C610" s="35" t="s">
        <v>307</v>
      </c>
      <c r="D610" s="13" t="s">
        <v>433</v>
      </c>
      <c r="E610" s="57">
        <f>2.269-0.528</f>
        <v>1.7410000000000001</v>
      </c>
    </row>
    <row r="611" spans="1:5" ht="14.25" x14ac:dyDescent="0.2">
      <c r="A611" s="71" t="s">
        <v>648</v>
      </c>
      <c r="B611" s="6" t="s">
        <v>268</v>
      </c>
      <c r="C611" s="35" t="s">
        <v>307</v>
      </c>
      <c r="D611" s="13" t="s">
        <v>293</v>
      </c>
      <c r="E611" s="57">
        <f>2.214-0.566</f>
        <v>1.6480000000000001</v>
      </c>
    </row>
    <row r="612" spans="1:5" ht="28.5" x14ac:dyDescent="0.2">
      <c r="A612" s="71" t="s">
        <v>648</v>
      </c>
      <c r="B612" s="6" t="s">
        <v>61</v>
      </c>
      <c r="C612" s="25" t="s">
        <v>338</v>
      </c>
      <c r="D612" s="25">
        <v>70</v>
      </c>
      <c r="E612" s="44">
        <f>1.59-0.39</f>
        <v>1.2000000000000002</v>
      </c>
    </row>
    <row r="613" spans="1:5" ht="28.5" x14ac:dyDescent="0.2">
      <c r="A613" s="71" t="s">
        <v>648</v>
      </c>
      <c r="B613" s="6" t="s">
        <v>61</v>
      </c>
      <c r="C613" s="25" t="s">
        <v>253</v>
      </c>
      <c r="D613" s="25">
        <v>80</v>
      </c>
      <c r="E613" s="44">
        <f>0.77-0.606-0.015</f>
        <v>0.14900000000000002</v>
      </c>
    </row>
    <row r="614" spans="1:5" ht="28.5" x14ac:dyDescent="0.2">
      <c r="A614" s="71" t="s">
        <v>648</v>
      </c>
      <c r="B614" s="6" t="s">
        <v>61</v>
      </c>
      <c r="C614" s="25" t="s">
        <v>253</v>
      </c>
      <c r="D614" s="25">
        <v>80</v>
      </c>
      <c r="E614" s="44">
        <f>4.506-0.172-0.309-0.452-0.192-2.06-0.195</f>
        <v>1.1260000000000001</v>
      </c>
    </row>
    <row r="615" spans="1:5" ht="14.25" x14ac:dyDescent="0.2">
      <c r="A615" s="71" t="s">
        <v>648</v>
      </c>
      <c r="B615" s="6" t="s">
        <v>61</v>
      </c>
      <c r="C615" s="25" t="s">
        <v>241</v>
      </c>
      <c r="D615" s="25">
        <v>120</v>
      </c>
      <c r="E615" s="44">
        <f>0.14-0.015</f>
        <v>0.125</v>
      </c>
    </row>
    <row r="616" spans="1:5" ht="14.25" x14ac:dyDescent="0.2">
      <c r="A616" s="71" t="s">
        <v>648</v>
      </c>
      <c r="B616" s="6" t="s">
        <v>61</v>
      </c>
      <c r="C616" s="25" t="s">
        <v>241</v>
      </c>
      <c r="D616" s="25">
        <v>130</v>
      </c>
      <c r="E616" s="44">
        <f>0.176</f>
        <v>0.17599999999999999</v>
      </c>
    </row>
    <row r="617" spans="1:5" ht="14.25" x14ac:dyDescent="0.2">
      <c r="A617" s="71" t="s">
        <v>648</v>
      </c>
      <c r="B617" s="6" t="s">
        <v>61</v>
      </c>
      <c r="C617" s="25" t="s">
        <v>241</v>
      </c>
      <c r="D617" s="25">
        <v>190</v>
      </c>
      <c r="E617" s="44">
        <f>0.878-0.449-0.224+0.001-0.036</f>
        <v>0.16999999999999998</v>
      </c>
    </row>
    <row r="618" spans="1:5" ht="14.25" x14ac:dyDescent="0.2">
      <c r="A618" s="71" t="s">
        <v>648</v>
      </c>
      <c r="B618" s="6" t="s">
        <v>61</v>
      </c>
      <c r="C618" s="25" t="s">
        <v>241</v>
      </c>
      <c r="D618" s="25">
        <v>190</v>
      </c>
      <c r="E618" s="44">
        <f>0.228-0.116</f>
        <v>0.112</v>
      </c>
    </row>
    <row r="619" spans="1:5" ht="14.25" x14ac:dyDescent="0.2">
      <c r="A619" s="71" t="s">
        <v>648</v>
      </c>
      <c r="B619" s="6" t="s">
        <v>61</v>
      </c>
      <c r="C619" s="25" t="s">
        <v>241</v>
      </c>
      <c r="D619" s="25">
        <v>200</v>
      </c>
      <c r="E619" s="44">
        <f>1.212-0.81</f>
        <v>0.40199999999999991</v>
      </c>
    </row>
    <row r="620" spans="1:5" ht="14.25" x14ac:dyDescent="0.2">
      <c r="A620" s="71" t="s">
        <v>648</v>
      </c>
      <c r="B620" s="6" t="s">
        <v>61</v>
      </c>
      <c r="C620" s="25" t="s">
        <v>241</v>
      </c>
      <c r="D620" s="25">
        <v>230</v>
      </c>
      <c r="E620" s="44">
        <f>1.074-0.536-0.004</f>
        <v>0.53400000000000003</v>
      </c>
    </row>
    <row r="621" spans="1:5" ht="14.25" x14ac:dyDescent="0.2">
      <c r="A621" s="71" t="s">
        <v>648</v>
      </c>
      <c r="B621" s="6" t="s">
        <v>61</v>
      </c>
      <c r="C621" s="25" t="s">
        <v>137</v>
      </c>
      <c r="D621" s="40">
        <v>260</v>
      </c>
      <c r="E621" s="59">
        <f>1.755-0.256</f>
        <v>1.4989999999999999</v>
      </c>
    </row>
    <row r="622" spans="1:5" ht="14.25" x14ac:dyDescent="0.2">
      <c r="A622" s="71" t="s">
        <v>648</v>
      </c>
      <c r="B622" s="6" t="s">
        <v>61</v>
      </c>
      <c r="C622" s="25" t="s">
        <v>137</v>
      </c>
      <c r="D622" s="13">
        <v>280</v>
      </c>
      <c r="E622" s="57">
        <f>0.435-0.305</f>
        <v>0.13</v>
      </c>
    </row>
    <row r="623" spans="1:5" ht="28.5" x14ac:dyDescent="0.2">
      <c r="A623" s="71" t="s">
        <v>648</v>
      </c>
      <c r="B623" s="1" t="s">
        <v>70</v>
      </c>
      <c r="C623" s="25" t="s">
        <v>366</v>
      </c>
      <c r="D623" s="25">
        <v>8</v>
      </c>
      <c r="E623" s="44">
        <f>0.08-0.05</f>
        <v>0.03</v>
      </c>
    </row>
    <row r="624" spans="1:5" ht="14.25" x14ac:dyDescent="0.2">
      <c r="A624" s="71" t="s">
        <v>648</v>
      </c>
      <c r="B624" s="1" t="s">
        <v>70</v>
      </c>
      <c r="C624" s="25" t="s">
        <v>187</v>
      </c>
      <c r="D624" s="25">
        <v>150</v>
      </c>
      <c r="E624" s="58">
        <f>3.472-0.764-0.104-0.016-1.8-0.2</f>
        <v>0.58800000000000008</v>
      </c>
    </row>
    <row r="625" spans="1:5" ht="14.25" x14ac:dyDescent="0.2">
      <c r="A625" s="71" t="s">
        <v>648</v>
      </c>
      <c r="B625" s="1" t="s">
        <v>70</v>
      </c>
      <c r="C625" s="25" t="s">
        <v>187</v>
      </c>
      <c r="D625" s="25">
        <v>150</v>
      </c>
      <c r="E625" s="58">
        <f>0.682</f>
        <v>0.68200000000000005</v>
      </c>
    </row>
    <row r="626" spans="1:5" ht="14.25" x14ac:dyDescent="0.2">
      <c r="A626" s="71" t="s">
        <v>648</v>
      </c>
      <c r="B626" s="1" t="s">
        <v>70</v>
      </c>
      <c r="C626" s="25" t="s">
        <v>187</v>
      </c>
      <c r="D626" s="25">
        <v>160</v>
      </c>
      <c r="E626" s="44">
        <f>1.028-0.02-0.024-0.456-0.084-0.015-0.012-0.05</f>
        <v>0.36699999999999999</v>
      </c>
    </row>
    <row r="627" spans="1:5" ht="14.25" x14ac:dyDescent="0.2">
      <c r="A627" s="71" t="s">
        <v>648</v>
      </c>
      <c r="B627" s="1" t="s">
        <v>70</v>
      </c>
      <c r="C627" s="25" t="s">
        <v>187</v>
      </c>
      <c r="D627" s="25">
        <v>160</v>
      </c>
      <c r="E627" s="44">
        <f>3.267-0.003-1.048-1.006-0.6</f>
        <v>0.60999999999999976</v>
      </c>
    </row>
    <row r="628" spans="1:5" ht="14.25" x14ac:dyDescent="0.2">
      <c r="A628" s="71" t="s">
        <v>648</v>
      </c>
      <c r="B628" s="1" t="s">
        <v>70</v>
      </c>
      <c r="C628" s="25" t="s">
        <v>187</v>
      </c>
      <c r="D628" s="25">
        <v>170</v>
      </c>
      <c r="E628" s="58">
        <f>2.98-0.076-0.018</f>
        <v>2.8860000000000001</v>
      </c>
    </row>
    <row r="629" spans="1:5" ht="14.25" x14ac:dyDescent="0.2">
      <c r="A629" s="71" t="s">
        <v>648</v>
      </c>
      <c r="B629" s="1" t="s">
        <v>70</v>
      </c>
      <c r="C629" s="25" t="s">
        <v>187</v>
      </c>
      <c r="D629" s="25">
        <v>190</v>
      </c>
      <c r="E629" s="44">
        <f>1.312-0.005-0.08-0.028-0.136-0.312-0.337</f>
        <v>0.41400000000000009</v>
      </c>
    </row>
    <row r="630" spans="1:5" ht="14.25" x14ac:dyDescent="0.2">
      <c r="A630" s="71" t="s">
        <v>648</v>
      </c>
      <c r="B630" s="1" t="s">
        <v>70</v>
      </c>
      <c r="C630" s="25" t="s">
        <v>187</v>
      </c>
      <c r="D630" s="25">
        <v>190</v>
      </c>
      <c r="E630" s="58">
        <f>2.228-0.003</f>
        <v>2.2250000000000001</v>
      </c>
    </row>
    <row r="631" spans="1:5" ht="14.25" x14ac:dyDescent="0.2">
      <c r="A631" s="71" t="s">
        <v>648</v>
      </c>
      <c r="B631" s="1" t="s">
        <v>70</v>
      </c>
      <c r="C631" s="25" t="s">
        <v>240</v>
      </c>
      <c r="D631" s="25">
        <v>220</v>
      </c>
      <c r="E631" s="58">
        <f>1.26-0.464-0.044-0.37</f>
        <v>0.38200000000000001</v>
      </c>
    </row>
    <row r="632" spans="1:5" ht="14.25" x14ac:dyDescent="0.2">
      <c r="A632" s="71" t="s">
        <v>648</v>
      </c>
      <c r="B632" s="1" t="s">
        <v>70</v>
      </c>
      <c r="C632" s="25" t="s">
        <v>240</v>
      </c>
      <c r="D632" s="25">
        <v>220</v>
      </c>
      <c r="E632" s="58">
        <f>1.356</f>
        <v>1.3560000000000001</v>
      </c>
    </row>
    <row r="633" spans="1:5" ht="14.25" x14ac:dyDescent="0.2">
      <c r="A633" s="71" t="s">
        <v>648</v>
      </c>
      <c r="B633" s="1" t="s">
        <v>70</v>
      </c>
      <c r="C633" s="25" t="s">
        <v>166</v>
      </c>
      <c r="D633" s="25">
        <v>230</v>
      </c>
      <c r="E633" s="44">
        <f>2.558-0.802-0.168-0.042-0.046-0.016-0.71-0.234</f>
        <v>0.53999999999999981</v>
      </c>
    </row>
    <row r="634" spans="1:5" ht="14.25" x14ac:dyDescent="0.2">
      <c r="A634" s="71" t="s">
        <v>648</v>
      </c>
      <c r="B634" s="1" t="s">
        <v>70</v>
      </c>
      <c r="C634" s="25" t="s">
        <v>166</v>
      </c>
      <c r="D634" s="25">
        <v>230</v>
      </c>
      <c r="E634" s="44">
        <f>1.724</f>
        <v>1.724</v>
      </c>
    </row>
    <row r="635" spans="1:5" ht="14.25" x14ac:dyDescent="0.2">
      <c r="A635" s="71" t="s">
        <v>648</v>
      </c>
      <c r="B635" s="1" t="s">
        <v>70</v>
      </c>
      <c r="C635" s="25" t="s">
        <v>166</v>
      </c>
      <c r="D635" s="25">
        <v>240</v>
      </c>
      <c r="E635" s="44">
        <f>1.288-0.36-0.432</f>
        <v>0.49600000000000005</v>
      </c>
    </row>
    <row r="636" spans="1:5" ht="14.25" x14ac:dyDescent="0.2">
      <c r="A636" s="71" t="s">
        <v>648</v>
      </c>
      <c r="B636" s="1" t="s">
        <v>70</v>
      </c>
      <c r="C636" s="25" t="s">
        <v>166</v>
      </c>
      <c r="D636" s="25">
        <v>240</v>
      </c>
      <c r="E636" s="44">
        <f>0.97</f>
        <v>0.97</v>
      </c>
    </row>
    <row r="637" spans="1:5" ht="14.25" x14ac:dyDescent="0.2">
      <c r="A637" s="71" t="s">
        <v>648</v>
      </c>
      <c r="B637" s="1" t="s">
        <v>70</v>
      </c>
      <c r="C637" s="25" t="s">
        <v>166</v>
      </c>
      <c r="D637" s="25">
        <v>240</v>
      </c>
      <c r="E637" s="44">
        <f>1.959</f>
        <v>1.9590000000000001</v>
      </c>
    </row>
    <row r="638" spans="1:5" ht="14.25" x14ac:dyDescent="0.2">
      <c r="A638" s="71" t="s">
        <v>648</v>
      </c>
      <c r="B638" s="1" t="s">
        <v>70</v>
      </c>
      <c r="C638" s="25" t="s">
        <v>166</v>
      </c>
      <c r="D638" s="25">
        <v>250</v>
      </c>
      <c r="E638" s="58">
        <f>1.012</f>
        <v>1.012</v>
      </c>
    </row>
    <row r="639" spans="1:5" ht="14.25" x14ac:dyDescent="0.2">
      <c r="A639" s="71" t="s">
        <v>648</v>
      </c>
      <c r="B639" s="1" t="s">
        <v>70</v>
      </c>
      <c r="C639" s="25" t="s">
        <v>166</v>
      </c>
      <c r="D639" s="25">
        <v>260</v>
      </c>
      <c r="E639" s="58">
        <f>1.67-0.06</f>
        <v>1.6099999999999999</v>
      </c>
    </row>
    <row r="640" spans="1:5" ht="14.25" x14ac:dyDescent="0.2">
      <c r="A640" s="71" t="s">
        <v>648</v>
      </c>
      <c r="B640" s="1" t="s">
        <v>70</v>
      </c>
      <c r="C640" s="25" t="s">
        <v>166</v>
      </c>
      <c r="D640" s="25">
        <v>260</v>
      </c>
      <c r="E640" s="58">
        <f>1.99</f>
        <v>1.99</v>
      </c>
    </row>
    <row r="641" spans="1:5" ht="14.25" x14ac:dyDescent="0.2">
      <c r="A641" s="71" t="s">
        <v>648</v>
      </c>
      <c r="B641" s="1" t="s">
        <v>70</v>
      </c>
      <c r="C641" s="25" t="s">
        <v>166</v>
      </c>
      <c r="D641" s="25">
        <v>300</v>
      </c>
      <c r="E641" s="44">
        <f>1.744-1.102-0.038-0.036-0.036-0.28-0.004-0.066-0.004-0.07-0.046</f>
        <v>6.1999999999999764E-2</v>
      </c>
    </row>
    <row r="642" spans="1:5" ht="14.25" x14ac:dyDescent="0.2">
      <c r="A642" s="71" t="s">
        <v>648</v>
      </c>
      <c r="B642" s="1" t="s">
        <v>70</v>
      </c>
      <c r="C642" s="25" t="s">
        <v>166</v>
      </c>
      <c r="D642" s="25">
        <v>300</v>
      </c>
      <c r="E642" s="44">
        <f>2.69-0.011-0.078</f>
        <v>2.601</v>
      </c>
    </row>
    <row r="643" spans="1:5" ht="14.25" x14ac:dyDescent="0.2">
      <c r="A643" s="71" t="s">
        <v>648</v>
      </c>
      <c r="B643" s="1" t="s">
        <v>70</v>
      </c>
      <c r="C643" s="25" t="s">
        <v>166</v>
      </c>
      <c r="D643" s="25">
        <v>330</v>
      </c>
      <c r="E643" s="44">
        <f>1.679-0.332-0.412-0.442-0.228</f>
        <v>0.26500000000000001</v>
      </c>
    </row>
    <row r="644" spans="1:5" ht="14.25" x14ac:dyDescent="0.2">
      <c r="A644" s="71" t="s">
        <v>648</v>
      </c>
      <c r="B644" s="1" t="s">
        <v>70</v>
      </c>
      <c r="C644" s="25" t="s">
        <v>166</v>
      </c>
      <c r="D644" s="25">
        <v>350</v>
      </c>
      <c r="E644" s="44">
        <f>2.675-0.77-0.011-0.416</f>
        <v>1.478</v>
      </c>
    </row>
    <row r="645" spans="1:5" ht="14.25" x14ac:dyDescent="0.2">
      <c r="A645" s="71" t="s">
        <v>648</v>
      </c>
      <c r="B645" s="1" t="s">
        <v>70</v>
      </c>
      <c r="C645" s="25" t="s">
        <v>166</v>
      </c>
      <c r="D645" s="25">
        <v>380</v>
      </c>
      <c r="E645" s="44">
        <f>3.5-2.218-0.02-0.478-0.546-0.006</f>
        <v>0.23199999999999998</v>
      </c>
    </row>
    <row r="646" spans="1:5" ht="14.25" x14ac:dyDescent="0.2">
      <c r="A646" s="71" t="s">
        <v>648</v>
      </c>
      <c r="B646" s="1" t="s">
        <v>70</v>
      </c>
      <c r="C646" s="34" t="s">
        <v>345</v>
      </c>
      <c r="D646" s="25" t="s">
        <v>344</v>
      </c>
      <c r="E646" s="58">
        <f>0.478-0.096-0.027-0.026-0.026-0.025</f>
        <v>0.27799999999999991</v>
      </c>
    </row>
    <row r="647" spans="1:5" ht="14.25" x14ac:dyDescent="0.2">
      <c r="A647" s="71" t="s">
        <v>648</v>
      </c>
      <c r="B647" s="1" t="s">
        <v>70</v>
      </c>
      <c r="C647" s="34" t="s">
        <v>345</v>
      </c>
      <c r="D647" s="25" t="s">
        <v>340</v>
      </c>
      <c r="E647" s="58">
        <f>0.884-0.16-0.052-0.052-0.057</f>
        <v>0.56299999999999983</v>
      </c>
    </row>
    <row r="648" spans="1:5" ht="14.25" x14ac:dyDescent="0.2">
      <c r="A648" s="71" t="s">
        <v>648</v>
      </c>
      <c r="B648" s="1" t="s">
        <v>70</v>
      </c>
      <c r="C648" s="34" t="s">
        <v>345</v>
      </c>
      <c r="D648" s="25" t="s">
        <v>341</v>
      </c>
      <c r="E648" s="58">
        <f>0.898+0.198-0.324-0.059-0.01-0.172-0.068-0.063</f>
        <v>0.40000000000000013</v>
      </c>
    </row>
    <row r="649" spans="1:5" ht="14.25" x14ac:dyDescent="0.2">
      <c r="A649" s="71" t="s">
        <v>648</v>
      </c>
      <c r="B649" s="1" t="s">
        <v>70</v>
      </c>
      <c r="C649" s="34" t="s">
        <v>345</v>
      </c>
      <c r="D649" s="25" t="s">
        <v>342</v>
      </c>
      <c r="E649" s="58">
        <f>0.55-0.15-0.074-0.08-0.07</f>
        <v>0.17599999999999999</v>
      </c>
    </row>
    <row r="650" spans="1:5" ht="14.25" x14ac:dyDescent="0.2">
      <c r="A650" s="71" t="s">
        <v>648</v>
      </c>
      <c r="B650" s="1" t="s">
        <v>70</v>
      </c>
      <c r="C650" s="34" t="s">
        <v>345</v>
      </c>
      <c r="D650" s="25" t="s">
        <v>343</v>
      </c>
      <c r="E650" s="58">
        <f>0.974+0.36-0.315-0.082-0.334</f>
        <v>0.6030000000000002</v>
      </c>
    </row>
    <row r="651" spans="1:5" ht="14.25" x14ac:dyDescent="0.2">
      <c r="A651" s="71" t="s">
        <v>648</v>
      </c>
      <c r="B651" s="1" t="s">
        <v>70</v>
      </c>
      <c r="C651" s="34" t="s">
        <v>177</v>
      </c>
      <c r="D651" s="25" t="s">
        <v>236</v>
      </c>
      <c r="E651" s="58">
        <f>1.958-0.072-0.256-0.254-0.034-0.525</f>
        <v>0.81699999999999984</v>
      </c>
    </row>
    <row r="652" spans="1:5" ht="14.25" x14ac:dyDescent="0.2">
      <c r="A652" s="71" t="s">
        <v>648</v>
      </c>
      <c r="B652" s="1" t="s">
        <v>70</v>
      </c>
      <c r="C652" s="34" t="s">
        <v>177</v>
      </c>
      <c r="D652" s="25" t="s">
        <v>236</v>
      </c>
      <c r="E652" s="58">
        <f>1.146</f>
        <v>1.1459999999999999</v>
      </c>
    </row>
    <row r="653" spans="1:5" ht="14.25" x14ac:dyDescent="0.2">
      <c r="A653" s="71" t="s">
        <v>648</v>
      </c>
      <c r="B653" s="16" t="s">
        <v>70</v>
      </c>
      <c r="C653" s="36" t="s">
        <v>225</v>
      </c>
      <c r="D653" s="14" t="s">
        <v>220</v>
      </c>
      <c r="E653" s="58">
        <f>2.031-0.534-0.627-0.546</f>
        <v>0.32400000000000007</v>
      </c>
    </row>
    <row r="654" spans="1:5" ht="14.25" x14ac:dyDescent="0.2">
      <c r="A654" s="71" t="s">
        <v>648</v>
      </c>
      <c r="B654" s="1" t="s">
        <v>70</v>
      </c>
      <c r="C654" s="34" t="s">
        <v>177</v>
      </c>
      <c r="D654" s="25" t="s">
        <v>283</v>
      </c>
      <c r="E654" s="58">
        <v>2.7E-2</v>
      </c>
    </row>
    <row r="655" spans="1:5" ht="14.25" x14ac:dyDescent="0.2">
      <c r="A655" s="71" t="s">
        <v>648</v>
      </c>
      <c r="B655" s="1" t="s">
        <v>70</v>
      </c>
      <c r="C655" s="34" t="s">
        <v>177</v>
      </c>
      <c r="D655" s="25" t="s">
        <v>284</v>
      </c>
      <c r="E655" s="58">
        <v>2.5999999999999999E-2</v>
      </c>
    </row>
    <row r="656" spans="1:5" ht="14.25" x14ac:dyDescent="0.2">
      <c r="A656" s="71" t="s">
        <v>648</v>
      </c>
      <c r="B656" s="1" t="s">
        <v>70</v>
      </c>
      <c r="C656" s="34" t="s">
        <v>177</v>
      </c>
      <c r="D656" s="25" t="s">
        <v>285</v>
      </c>
      <c r="E656" s="58">
        <v>2.5000000000000001E-2</v>
      </c>
    </row>
    <row r="657" spans="1:5" ht="14.25" x14ac:dyDescent="0.2">
      <c r="A657" s="71" t="s">
        <v>648</v>
      </c>
      <c r="B657" s="1" t="s">
        <v>70</v>
      </c>
      <c r="C657" s="34" t="s">
        <v>177</v>
      </c>
      <c r="D657" s="25" t="s">
        <v>176</v>
      </c>
      <c r="E657" s="58">
        <f>2.828-0.19-0.126-0.206-0.392-0.24-0.168-0.246-0.15</f>
        <v>1.1100000000000003</v>
      </c>
    </row>
    <row r="658" spans="1:5" ht="14.25" x14ac:dyDescent="0.2">
      <c r="A658" s="71" t="s">
        <v>648</v>
      </c>
      <c r="B658" s="1" t="s">
        <v>70</v>
      </c>
      <c r="C658" s="34" t="s">
        <v>177</v>
      </c>
      <c r="D658" s="25" t="s">
        <v>176</v>
      </c>
      <c r="E658" s="58">
        <f>2.179</f>
        <v>2.1789999999999998</v>
      </c>
    </row>
    <row r="659" spans="1:5" ht="14.25" x14ac:dyDescent="0.2">
      <c r="A659" s="71" t="s">
        <v>648</v>
      </c>
      <c r="B659" s="1" t="s">
        <v>70</v>
      </c>
      <c r="C659" s="34" t="s">
        <v>177</v>
      </c>
      <c r="D659" s="25" t="s">
        <v>238</v>
      </c>
      <c r="E659" s="58">
        <f>2.028-0.414-0.474-0.064-0.017-0.128-0.101-0.25-0.116-0.214-0.017</f>
        <v>0.23300000000000021</v>
      </c>
    </row>
    <row r="660" spans="1:5" ht="14.25" x14ac:dyDescent="0.2">
      <c r="A660" s="71" t="s">
        <v>648</v>
      </c>
      <c r="B660" s="1" t="s">
        <v>70</v>
      </c>
      <c r="C660" s="34" t="s">
        <v>177</v>
      </c>
      <c r="D660" s="25" t="s">
        <v>238</v>
      </c>
      <c r="E660" s="58">
        <f>1.53-0.362-0.384-0.154-0.379</f>
        <v>0.25100000000000011</v>
      </c>
    </row>
    <row r="661" spans="1:5" ht="14.25" x14ac:dyDescent="0.2">
      <c r="A661" s="71" t="s">
        <v>648</v>
      </c>
      <c r="B661" s="1" t="s">
        <v>70</v>
      </c>
      <c r="C661" s="34" t="s">
        <v>177</v>
      </c>
      <c r="D661" s="25" t="s">
        <v>238</v>
      </c>
      <c r="E661" s="58">
        <f>2.343</f>
        <v>2.343</v>
      </c>
    </row>
    <row r="662" spans="1:5" ht="14.25" x14ac:dyDescent="0.2">
      <c r="A662" s="71" t="s">
        <v>648</v>
      </c>
      <c r="B662" s="1" t="s">
        <v>70</v>
      </c>
      <c r="C662" s="34" t="s">
        <v>177</v>
      </c>
      <c r="D662" s="25" t="s">
        <v>216</v>
      </c>
      <c r="E662" s="44">
        <f>0.237-0.082-0.069</f>
        <v>8.5999999999999965E-2</v>
      </c>
    </row>
    <row r="663" spans="1:5" ht="14.25" x14ac:dyDescent="0.2">
      <c r="A663" s="71" t="s">
        <v>648</v>
      </c>
      <c r="B663" s="1" t="s">
        <v>70</v>
      </c>
      <c r="C663" s="34" t="s">
        <v>177</v>
      </c>
      <c r="D663" s="25" t="s">
        <v>216</v>
      </c>
      <c r="E663" s="44">
        <f>0.494-0.032-0.06-0.06</f>
        <v>0.34199999999999997</v>
      </c>
    </row>
    <row r="664" spans="1:5" ht="14.25" x14ac:dyDescent="0.2">
      <c r="A664" s="71" t="s">
        <v>648</v>
      </c>
      <c r="B664" s="1" t="s">
        <v>70</v>
      </c>
      <c r="C664" s="34" t="s">
        <v>177</v>
      </c>
      <c r="D664" s="25" t="s">
        <v>216</v>
      </c>
      <c r="E664" s="44">
        <f>0.463-0.037</f>
        <v>0.42600000000000005</v>
      </c>
    </row>
    <row r="665" spans="1:5" ht="14.25" x14ac:dyDescent="0.2">
      <c r="A665" s="71" t="s">
        <v>648</v>
      </c>
      <c r="B665" s="1" t="s">
        <v>70</v>
      </c>
      <c r="C665" s="34" t="s">
        <v>177</v>
      </c>
      <c r="D665" s="25" t="s">
        <v>286</v>
      </c>
      <c r="E665" s="58">
        <v>2.8000000000000001E-2</v>
      </c>
    </row>
    <row r="666" spans="1:5" ht="14.25" x14ac:dyDescent="0.2">
      <c r="A666" s="71" t="s">
        <v>648</v>
      </c>
      <c r="B666" s="1" t="s">
        <v>70</v>
      </c>
      <c r="C666" s="34" t="s">
        <v>177</v>
      </c>
      <c r="D666" s="25" t="s">
        <v>190</v>
      </c>
      <c r="E666" s="58">
        <f>7.956-0.002-0.412-0.458-0.518-1.996-1.104-0.436-0.152-0.6-0.015-1.24-0.2</f>
        <v>0.82299999999999995</v>
      </c>
    </row>
    <row r="667" spans="1:5" ht="14.25" x14ac:dyDescent="0.2">
      <c r="A667" s="71" t="s">
        <v>648</v>
      </c>
      <c r="B667" s="1" t="s">
        <v>70</v>
      </c>
      <c r="C667" s="34" t="s">
        <v>177</v>
      </c>
      <c r="D667" s="25" t="s">
        <v>270</v>
      </c>
      <c r="E667" s="58">
        <f>2.182-0.025-0.025-0.052-0.16-0.17-0.2</f>
        <v>1.5500000000000003</v>
      </c>
    </row>
    <row r="668" spans="1:5" ht="14.25" x14ac:dyDescent="0.2">
      <c r="A668" s="71" t="s">
        <v>648</v>
      </c>
      <c r="B668" s="1" t="s">
        <v>70</v>
      </c>
      <c r="C668" s="34" t="s">
        <v>177</v>
      </c>
      <c r="D668" s="25" t="s">
        <v>270</v>
      </c>
      <c r="E668" s="58">
        <f>0.689</f>
        <v>0.68899999999999995</v>
      </c>
    </row>
    <row r="669" spans="1:5" ht="14.25" x14ac:dyDescent="0.2">
      <c r="A669" s="71" t="s">
        <v>648</v>
      </c>
      <c r="B669" s="1" t="s">
        <v>70</v>
      </c>
      <c r="C669" s="34" t="s">
        <v>177</v>
      </c>
      <c r="D669" s="25" t="s">
        <v>271</v>
      </c>
      <c r="E669" s="58">
        <f>9.568-0.003-0.27-0.488-0.84-0.068-0.584-0.042-0.072-0.144-0.1-1.244-0.208-0.084-0.206-0.198-0.198-0.332-0.5-0.3-0.3-0.3</f>
        <v>3.0870000000000015</v>
      </c>
    </row>
    <row r="670" spans="1:5" ht="14.25" x14ac:dyDescent="0.2">
      <c r="A670" s="71" t="s">
        <v>648</v>
      </c>
      <c r="B670" s="1" t="s">
        <v>70</v>
      </c>
      <c r="C670" s="34" t="s">
        <v>177</v>
      </c>
      <c r="D670" s="25" t="s">
        <v>271</v>
      </c>
      <c r="E670" s="58">
        <f>1.455</f>
        <v>1.4550000000000001</v>
      </c>
    </row>
    <row r="671" spans="1:5" ht="14.25" x14ac:dyDescent="0.2">
      <c r="A671" s="71" t="s">
        <v>648</v>
      </c>
      <c r="B671" s="1" t="s">
        <v>70</v>
      </c>
      <c r="C671" s="34" t="s">
        <v>177</v>
      </c>
      <c r="D671" s="25" t="s">
        <v>272</v>
      </c>
      <c r="E671" s="58">
        <f>2.49-0.762-1.308-0.054-0.025</f>
        <v>0.34100000000000014</v>
      </c>
    </row>
    <row r="672" spans="1:5" ht="14.25" x14ac:dyDescent="0.2">
      <c r="A672" s="71" t="s">
        <v>648</v>
      </c>
      <c r="B672" s="1" t="s">
        <v>70</v>
      </c>
      <c r="C672" s="34" t="s">
        <v>177</v>
      </c>
      <c r="D672" s="25" t="s">
        <v>180</v>
      </c>
      <c r="E672" s="58">
        <f>2.484-1.16-0.466-0.526-0.172-0.04</f>
        <v>0.12000000000000008</v>
      </c>
    </row>
    <row r="673" spans="1:5" ht="14.25" x14ac:dyDescent="0.2">
      <c r="A673" s="71" t="s">
        <v>648</v>
      </c>
      <c r="B673" s="1" t="s">
        <v>70</v>
      </c>
      <c r="C673" s="34" t="s">
        <v>177</v>
      </c>
      <c r="D673" s="25" t="s">
        <v>311</v>
      </c>
      <c r="E673" s="58">
        <f>6.69-0.12-0.248-0.746-0.3-0.076-0.035-0.8-0.75</f>
        <v>3.6150000000000011</v>
      </c>
    </row>
    <row r="674" spans="1:5" ht="14.25" x14ac:dyDescent="0.2">
      <c r="A674" s="71" t="s">
        <v>648</v>
      </c>
      <c r="B674" s="1" t="s">
        <v>70</v>
      </c>
      <c r="C674" s="34" t="s">
        <v>177</v>
      </c>
      <c r="D674" s="25" t="s">
        <v>179</v>
      </c>
      <c r="E674" s="58">
        <f>3.456</f>
        <v>3.456</v>
      </c>
    </row>
    <row r="675" spans="1:5" ht="14.25" x14ac:dyDescent="0.2">
      <c r="A675" s="71" t="s">
        <v>648</v>
      </c>
      <c r="B675" s="1" t="s">
        <v>70</v>
      </c>
      <c r="C675" s="34" t="s">
        <v>177</v>
      </c>
      <c r="D675" s="25" t="s">
        <v>433</v>
      </c>
      <c r="E675" s="58">
        <f>2.542</f>
        <v>2.5419999999999998</v>
      </c>
    </row>
    <row r="676" spans="1:5" ht="14.25" x14ac:dyDescent="0.2">
      <c r="A676" s="71" t="s">
        <v>648</v>
      </c>
      <c r="B676" s="1" t="s">
        <v>70</v>
      </c>
      <c r="C676" s="34" t="s">
        <v>177</v>
      </c>
      <c r="D676" s="25" t="s">
        <v>293</v>
      </c>
      <c r="E676" s="58">
        <f>3.252-0.634-0.702-0.194-0.062-0.274-0.042-0.043</f>
        <v>1.3009999999999999</v>
      </c>
    </row>
    <row r="677" spans="1:5" ht="14.25" x14ac:dyDescent="0.2">
      <c r="A677" s="71" t="s">
        <v>648</v>
      </c>
      <c r="B677" s="1" t="s">
        <v>70</v>
      </c>
      <c r="C677" s="34" t="s">
        <v>177</v>
      </c>
      <c r="D677" s="25" t="s">
        <v>293</v>
      </c>
      <c r="E677" s="58">
        <f>2.33-0.612</f>
        <v>1.718</v>
      </c>
    </row>
    <row r="678" spans="1:5" ht="14.25" x14ac:dyDescent="0.2">
      <c r="A678" s="71" t="s">
        <v>648</v>
      </c>
      <c r="B678" s="1" t="s">
        <v>70</v>
      </c>
      <c r="C678" s="34" t="s">
        <v>177</v>
      </c>
      <c r="D678" s="25" t="s">
        <v>293</v>
      </c>
      <c r="E678" s="58">
        <f>2.618</f>
        <v>2.6179999999999999</v>
      </c>
    </row>
    <row r="679" spans="1:5" ht="14.25" x14ac:dyDescent="0.2">
      <c r="A679" s="71" t="s">
        <v>648</v>
      </c>
      <c r="B679" s="1" t="s">
        <v>70</v>
      </c>
      <c r="C679" s="34" t="s">
        <v>177</v>
      </c>
      <c r="D679" s="25" t="s">
        <v>198</v>
      </c>
      <c r="E679" s="58">
        <f>2.96</f>
        <v>2.96</v>
      </c>
    </row>
    <row r="680" spans="1:5" ht="14.25" x14ac:dyDescent="0.2">
      <c r="A680" s="71" t="s">
        <v>648</v>
      </c>
      <c r="B680" s="1" t="s">
        <v>70</v>
      </c>
      <c r="C680" s="34" t="s">
        <v>177</v>
      </c>
      <c r="D680" s="25" t="s">
        <v>259</v>
      </c>
      <c r="E680" s="58">
        <f>0.896-0.792-0.02</f>
        <v>8.3999999999999977E-2</v>
      </c>
    </row>
    <row r="681" spans="1:5" ht="14.25" x14ac:dyDescent="0.2">
      <c r="A681" s="71" t="s">
        <v>648</v>
      </c>
      <c r="B681" s="1" t="s">
        <v>70</v>
      </c>
      <c r="C681" s="34" t="s">
        <v>177</v>
      </c>
      <c r="D681" s="25" t="s">
        <v>259</v>
      </c>
      <c r="E681" s="58">
        <f>0.92-0.815-0.02</f>
        <v>8.5000000000000089E-2</v>
      </c>
    </row>
    <row r="682" spans="1:5" ht="14.25" x14ac:dyDescent="0.2">
      <c r="A682" s="71" t="s">
        <v>648</v>
      </c>
      <c r="B682" s="1" t="s">
        <v>70</v>
      </c>
      <c r="C682" s="34" t="s">
        <v>307</v>
      </c>
      <c r="D682" s="25" t="s">
        <v>182</v>
      </c>
      <c r="E682" s="58">
        <f>1.842-0.244-0.786</f>
        <v>0.81200000000000006</v>
      </c>
    </row>
    <row r="683" spans="1:5" ht="14.25" x14ac:dyDescent="0.2">
      <c r="A683" s="71" t="s">
        <v>648</v>
      </c>
      <c r="B683" s="1" t="s">
        <v>70</v>
      </c>
      <c r="C683" s="34" t="s">
        <v>307</v>
      </c>
      <c r="D683" s="25" t="s">
        <v>182</v>
      </c>
      <c r="E683" s="58">
        <f>1.746-0.6</f>
        <v>1.1459999999999999</v>
      </c>
    </row>
    <row r="684" spans="1:5" ht="14.25" x14ac:dyDescent="0.2">
      <c r="A684" s="71" t="s">
        <v>648</v>
      </c>
      <c r="B684" s="1" t="s">
        <v>70</v>
      </c>
      <c r="C684" s="34" t="s">
        <v>307</v>
      </c>
      <c r="D684" s="25" t="s">
        <v>183</v>
      </c>
      <c r="E684" s="58">
        <f>2.546-0.63-0.05-0.52</f>
        <v>1.3459999999999999</v>
      </c>
    </row>
    <row r="685" spans="1:5" ht="14.25" x14ac:dyDescent="0.2">
      <c r="A685" s="71" t="s">
        <v>648</v>
      </c>
      <c r="B685" s="1" t="s">
        <v>70</v>
      </c>
      <c r="C685" s="34" t="s">
        <v>307</v>
      </c>
      <c r="D685" s="25" t="s">
        <v>183</v>
      </c>
      <c r="E685" s="58">
        <f>2.42-0.006</f>
        <v>2.4140000000000001</v>
      </c>
    </row>
    <row r="686" spans="1:5" ht="14.25" x14ac:dyDescent="0.2">
      <c r="A686" s="71" t="s">
        <v>648</v>
      </c>
      <c r="B686" s="1" t="s">
        <v>70</v>
      </c>
      <c r="C686" s="34" t="s">
        <v>177</v>
      </c>
      <c r="D686" s="25" t="s">
        <v>294</v>
      </c>
      <c r="E686" s="58">
        <f>3.168-1.574-0.01-1.124</f>
        <v>0.45999999999999996</v>
      </c>
    </row>
    <row r="687" spans="1:5" ht="14.25" x14ac:dyDescent="0.2">
      <c r="A687" s="71" t="s">
        <v>648</v>
      </c>
      <c r="B687" s="1" t="s">
        <v>227</v>
      </c>
      <c r="C687" s="25" t="s">
        <v>131</v>
      </c>
      <c r="D687" s="25">
        <v>15</v>
      </c>
      <c r="E687" s="44">
        <f>0.4-0.28-0.015</f>
        <v>0.105</v>
      </c>
    </row>
    <row r="688" spans="1:5" ht="14.25" x14ac:dyDescent="0.2">
      <c r="A688" s="71" t="s">
        <v>648</v>
      </c>
      <c r="B688" s="1" t="s">
        <v>227</v>
      </c>
      <c r="C688" s="25" t="s">
        <v>131</v>
      </c>
      <c r="D688" s="25">
        <v>40</v>
      </c>
      <c r="E688" s="44">
        <f>0.112</f>
        <v>0.112</v>
      </c>
    </row>
    <row r="689" spans="1:5" ht="14.25" x14ac:dyDescent="0.2">
      <c r="A689" s="71" t="s">
        <v>648</v>
      </c>
      <c r="B689" s="1" t="s">
        <v>227</v>
      </c>
      <c r="C689" s="25" t="s">
        <v>131</v>
      </c>
      <c r="D689" s="25">
        <v>70</v>
      </c>
      <c r="E689" s="44">
        <f>0.244</f>
        <v>0.24399999999999999</v>
      </c>
    </row>
    <row r="690" spans="1:5" ht="14.25" x14ac:dyDescent="0.2">
      <c r="A690" s="71" t="s">
        <v>648</v>
      </c>
      <c r="B690" s="25" t="s">
        <v>83</v>
      </c>
      <c r="C690" s="25" t="s">
        <v>123</v>
      </c>
      <c r="D690" s="25" t="s">
        <v>129</v>
      </c>
      <c r="E690" s="44">
        <f>0.61-0.41-0.015</f>
        <v>0.185</v>
      </c>
    </row>
    <row r="691" spans="1:5" ht="14.25" x14ac:dyDescent="0.2">
      <c r="A691" s="71" t="s">
        <v>648</v>
      </c>
      <c r="B691" s="25" t="s">
        <v>83</v>
      </c>
      <c r="C691" s="25" t="s">
        <v>123</v>
      </c>
      <c r="D691" s="25" t="s">
        <v>127</v>
      </c>
      <c r="E691" s="44">
        <f>0.05+0.06-0.07-0.015</f>
        <v>2.4999999999999994E-2</v>
      </c>
    </row>
    <row r="692" spans="1:5" ht="14.25" x14ac:dyDescent="0.2">
      <c r="A692" s="71" t="s">
        <v>648</v>
      </c>
      <c r="B692" s="25" t="s">
        <v>83</v>
      </c>
      <c r="C692" s="25" t="s">
        <v>123</v>
      </c>
      <c r="D692" s="25" t="s">
        <v>128</v>
      </c>
      <c r="E692" s="44">
        <f>0.06-0.015</f>
        <v>4.4999999999999998E-2</v>
      </c>
    </row>
    <row r="693" spans="1:5" ht="14.25" x14ac:dyDescent="0.2">
      <c r="A693" s="71" t="s">
        <v>648</v>
      </c>
      <c r="B693" s="25" t="s">
        <v>83</v>
      </c>
      <c r="C693" s="25" t="s">
        <v>123</v>
      </c>
      <c r="D693" s="25" t="s">
        <v>132</v>
      </c>
      <c r="E693" s="44">
        <v>0.1</v>
      </c>
    </row>
    <row r="694" spans="1:5" ht="14.25" x14ac:dyDescent="0.2">
      <c r="A694" s="71" t="s">
        <v>648</v>
      </c>
      <c r="B694" s="25" t="s">
        <v>83</v>
      </c>
      <c r="C694" s="25" t="s">
        <v>147</v>
      </c>
      <c r="D694" s="25">
        <v>35</v>
      </c>
      <c r="E694" s="44">
        <f>0.2-0.029-0.029-0.027</f>
        <v>0.11500000000000002</v>
      </c>
    </row>
    <row r="695" spans="1:5" ht="14.25" x14ac:dyDescent="0.2">
      <c r="A695" s="71" t="s">
        <v>648</v>
      </c>
      <c r="B695" s="25" t="s">
        <v>83</v>
      </c>
      <c r="C695" s="25" t="s">
        <v>533</v>
      </c>
      <c r="D695" s="25">
        <v>120</v>
      </c>
      <c r="E695" s="44">
        <f>0.405-0.264</f>
        <v>0.14100000000000001</v>
      </c>
    </row>
    <row r="696" spans="1:5" ht="14.25" x14ac:dyDescent="0.2">
      <c r="A696" s="71" t="s">
        <v>648</v>
      </c>
      <c r="B696" s="25" t="s">
        <v>120</v>
      </c>
      <c r="C696" s="25" t="s">
        <v>123</v>
      </c>
      <c r="D696" s="25" t="s">
        <v>140</v>
      </c>
      <c r="E696" s="44">
        <v>0.09</v>
      </c>
    </row>
    <row r="697" spans="1:5" ht="14.25" x14ac:dyDescent="0.2">
      <c r="A697" s="71" t="s">
        <v>648</v>
      </c>
      <c r="B697" s="25" t="s">
        <v>120</v>
      </c>
      <c r="C697" s="25" t="s">
        <v>123</v>
      </c>
      <c r="D697" s="25" t="s">
        <v>141</v>
      </c>
      <c r="E697" s="44">
        <v>0.11</v>
      </c>
    </row>
    <row r="698" spans="1:5" ht="14.25" x14ac:dyDescent="0.2">
      <c r="A698" s="71" t="s">
        <v>648</v>
      </c>
      <c r="B698" s="25" t="s">
        <v>120</v>
      </c>
      <c r="C698" s="25" t="s">
        <v>123</v>
      </c>
      <c r="D698" s="25" t="s">
        <v>142</v>
      </c>
      <c r="E698" s="44">
        <v>0.129</v>
      </c>
    </row>
    <row r="699" spans="1:5" ht="14.25" x14ac:dyDescent="0.2">
      <c r="A699" s="71" t="s">
        <v>648</v>
      </c>
      <c r="B699" s="25" t="s">
        <v>120</v>
      </c>
      <c r="C699" s="25" t="s">
        <v>123</v>
      </c>
      <c r="D699" s="25" t="s">
        <v>128</v>
      </c>
      <c r="E699" s="44">
        <v>0.05</v>
      </c>
    </row>
    <row r="700" spans="1:5" ht="14.25" x14ac:dyDescent="0.2">
      <c r="A700" s="71" t="s">
        <v>648</v>
      </c>
      <c r="B700" s="25" t="s">
        <v>120</v>
      </c>
      <c r="C700" s="25" t="s">
        <v>123</v>
      </c>
      <c r="D700" s="25" t="s">
        <v>130</v>
      </c>
      <c r="E700" s="44">
        <f>0.15-0.05-0.049</f>
        <v>5.099999999999999E-2</v>
      </c>
    </row>
    <row r="701" spans="1:5" ht="14.25" x14ac:dyDescent="0.2">
      <c r="A701" s="71" t="s">
        <v>648</v>
      </c>
      <c r="B701" s="7" t="s">
        <v>62</v>
      </c>
      <c r="C701" s="25" t="s">
        <v>123</v>
      </c>
      <c r="D701" s="25" t="s">
        <v>124</v>
      </c>
      <c r="E701" s="44">
        <f>0.17-0.015-0.02-0.01-0.03-0.05</f>
        <v>4.5000000000000026E-2</v>
      </c>
    </row>
    <row r="702" spans="1:5" ht="14.25" x14ac:dyDescent="0.2">
      <c r="A702" s="71" t="s">
        <v>648</v>
      </c>
      <c r="B702" s="7" t="s">
        <v>62</v>
      </c>
      <c r="C702" s="25" t="s">
        <v>123</v>
      </c>
      <c r="D702" s="25" t="s">
        <v>165</v>
      </c>
      <c r="E702" s="44">
        <v>0.05</v>
      </c>
    </row>
    <row r="703" spans="1:5" ht="14.25" x14ac:dyDescent="0.2">
      <c r="A703" s="71" t="s">
        <v>648</v>
      </c>
      <c r="B703" s="7" t="s">
        <v>62</v>
      </c>
      <c r="C703" s="25" t="s">
        <v>123</v>
      </c>
      <c r="D703" s="25" t="s">
        <v>127</v>
      </c>
      <c r="E703" s="44">
        <f>0.15-0.05-0.02-0.015-0.02</f>
        <v>4.4999999999999984E-2</v>
      </c>
    </row>
    <row r="704" spans="1:5" ht="14.25" x14ac:dyDescent="0.2">
      <c r="A704" s="71" t="s">
        <v>648</v>
      </c>
      <c r="B704" s="7" t="s">
        <v>62</v>
      </c>
      <c r="C704" s="25" t="s">
        <v>123</v>
      </c>
      <c r="D704" s="25" t="s">
        <v>125</v>
      </c>
      <c r="E704" s="44">
        <f>0.05-0.026</f>
        <v>2.4000000000000004E-2</v>
      </c>
    </row>
    <row r="705" spans="1:5" ht="14.25" x14ac:dyDescent="0.2">
      <c r="A705" s="71" t="s">
        <v>648</v>
      </c>
      <c r="B705" s="7" t="s">
        <v>62</v>
      </c>
      <c r="C705" s="25" t="s">
        <v>123</v>
      </c>
      <c r="D705" s="25" t="s">
        <v>143</v>
      </c>
      <c r="E705" s="44">
        <f>0.15-0.05-0.035</f>
        <v>6.4999999999999988E-2</v>
      </c>
    </row>
    <row r="706" spans="1:5" ht="14.25" x14ac:dyDescent="0.2">
      <c r="A706" s="71" t="s">
        <v>648</v>
      </c>
      <c r="B706" s="7" t="s">
        <v>62</v>
      </c>
      <c r="C706" s="25" t="s">
        <v>123</v>
      </c>
      <c r="D706" s="25" t="s">
        <v>143</v>
      </c>
      <c r="E706" s="44">
        <v>0.14000000000000001</v>
      </c>
    </row>
    <row r="707" spans="1:5" ht="14.25" x14ac:dyDescent="0.2">
      <c r="A707" s="71" t="s">
        <v>648</v>
      </c>
      <c r="B707" s="7" t="s">
        <v>62</v>
      </c>
      <c r="C707" s="25" t="s">
        <v>123</v>
      </c>
      <c r="D707" s="25" t="s">
        <v>144</v>
      </c>
      <c r="E707" s="44">
        <f>0.3-0.018-0.02-0.05-0.05</f>
        <v>0.16199999999999998</v>
      </c>
    </row>
    <row r="708" spans="1:5" ht="14.25" x14ac:dyDescent="0.2">
      <c r="A708" s="71" t="s">
        <v>648</v>
      </c>
      <c r="B708" s="7" t="s">
        <v>62</v>
      </c>
      <c r="C708" s="25" t="s">
        <v>123</v>
      </c>
      <c r="D708" s="25" t="s">
        <v>126</v>
      </c>
      <c r="E708" s="44">
        <f>0.24-0.069-0.15</f>
        <v>2.0999999999999991E-2</v>
      </c>
    </row>
    <row r="709" spans="1:5" ht="14.25" x14ac:dyDescent="0.2">
      <c r="A709" s="71" t="s">
        <v>648</v>
      </c>
      <c r="B709" s="7" t="s">
        <v>62</v>
      </c>
      <c r="C709" s="25" t="s">
        <v>245</v>
      </c>
      <c r="D709" s="26" t="s">
        <v>244</v>
      </c>
      <c r="E709" s="43">
        <v>5.2999999999999999E-2</v>
      </c>
    </row>
    <row r="710" spans="1:5" ht="14.25" x14ac:dyDescent="0.2">
      <c r="A710" s="71" t="s">
        <v>648</v>
      </c>
      <c r="B710" s="7" t="s">
        <v>532</v>
      </c>
      <c r="C710" s="25" t="s">
        <v>533</v>
      </c>
      <c r="D710" s="26">
        <v>180</v>
      </c>
      <c r="E710" s="43">
        <f>0.3337</f>
        <v>0.3337</v>
      </c>
    </row>
    <row r="711" spans="1:5" ht="14.25" x14ac:dyDescent="0.2">
      <c r="A711" s="71" t="s">
        <v>648</v>
      </c>
      <c r="B711" s="7" t="s">
        <v>532</v>
      </c>
      <c r="C711" s="25" t="s">
        <v>533</v>
      </c>
      <c r="D711" s="26">
        <v>190</v>
      </c>
      <c r="E711" s="43">
        <v>0.31</v>
      </c>
    </row>
    <row r="712" spans="1:5" ht="14.25" x14ac:dyDescent="0.2">
      <c r="A712" s="71" t="s">
        <v>648</v>
      </c>
      <c r="B712" s="7" t="s">
        <v>121</v>
      </c>
      <c r="C712" s="7" t="s">
        <v>122</v>
      </c>
      <c r="D712" s="26">
        <v>65</v>
      </c>
      <c r="E712" s="43">
        <f>0.146-0.104+0.006</f>
        <v>4.7999999999999994E-2</v>
      </c>
    </row>
    <row r="713" spans="1:5" ht="14.25" x14ac:dyDescent="0.2">
      <c r="A713" s="71" t="s">
        <v>648</v>
      </c>
      <c r="B713" s="7" t="s">
        <v>121</v>
      </c>
      <c r="C713" s="7" t="s">
        <v>122</v>
      </c>
      <c r="D713" s="26">
        <v>170</v>
      </c>
      <c r="E713" s="45">
        <f>0.56-0.032</f>
        <v>0.52800000000000002</v>
      </c>
    </row>
    <row r="714" spans="1:5" ht="14.25" x14ac:dyDescent="0.2">
      <c r="A714" s="71" t="s">
        <v>648</v>
      </c>
      <c r="B714" s="7" t="s">
        <v>215</v>
      </c>
      <c r="C714" s="7" t="s">
        <v>649</v>
      </c>
      <c r="D714" s="25">
        <v>8</v>
      </c>
      <c r="E714" s="45">
        <v>6.7000000000000002E-3</v>
      </c>
    </row>
    <row r="715" spans="1:5" ht="14.25" x14ac:dyDescent="0.2">
      <c r="A715" s="71" t="s">
        <v>648</v>
      </c>
      <c r="B715" s="7" t="s">
        <v>215</v>
      </c>
      <c r="C715" s="7" t="s">
        <v>122</v>
      </c>
      <c r="D715" s="25">
        <v>10</v>
      </c>
      <c r="E715" s="45">
        <f>0.299</f>
        <v>0.29899999999999999</v>
      </c>
    </row>
    <row r="716" spans="1:5" ht="14.25" x14ac:dyDescent="0.2">
      <c r="A716" s="71" t="s">
        <v>648</v>
      </c>
      <c r="B716" s="7" t="s">
        <v>215</v>
      </c>
      <c r="C716" s="7" t="s">
        <v>122</v>
      </c>
      <c r="D716" s="25">
        <v>14</v>
      </c>
      <c r="E716" s="45">
        <f>0.302-0.093</f>
        <v>0.20899999999999999</v>
      </c>
    </row>
    <row r="717" spans="1:5" ht="14.25" x14ac:dyDescent="0.2">
      <c r="A717" s="71" t="s">
        <v>648</v>
      </c>
      <c r="B717" s="7" t="s">
        <v>215</v>
      </c>
      <c r="C717" s="7" t="s">
        <v>122</v>
      </c>
      <c r="D717" s="25">
        <v>25</v>
      </c>
      <c r="E717" s="45">
        <f>0.199-0.099</f>
        <v>0.1</v>
      </c>
    </row>
    <row r="718" spans="1:5" ht="14.25" x14ac:dyDescent="0.2">
      <c r="A718" s="71" t="s">
        <v>648</v>
      </c>
      <c r="B718" s="7" t="s">
        <v>215</v>
      </c>
      <c r="C718" s="7" t="s">
        <v>122</v>
      </c>
      <c r="D718" s="25">
        <v>60</v>
      </c>
      <c r="E718" s="45">
        <f>0.264-0.084-0.089</f>
        <v>9.0999999999999998E-2</v>
      </c>
    </row>
    <row r="719" spans="1:5" ht="14.25" x14ac:dyDescent="0.2">
      <c r="A719" s="71" t="s">
        <v>648</v>
      </c>
      <c r="B719" s="7" t="s">
        <v>215</v>
      </c>
      <c r="C719" s="7" t="s">
        <v>122</v>
      </c>
      <c r="D719" s="25">
        <v>100</v>
      </c>
      <c r="E719" s="45">
        <f>0.362-0.015-0.175-0.016</f>
        <v>0.15599999999999997</v>
      </c>
    </row>
    <row r="720" spans="1:5" ht="14.25" x14ac:dyDescent="0.2">
      <c r="A720" s="71" t="s">
        <v>648</v>
      </c>
      <c r="B720" s="6" t="s">
        <v>29</v>
      </c>
      <c r="C720" s="17" t="s">
        <v>211</v>
      </c>
      <c r="D720" s="13">
        <v>40</v>
      </c>
      <c r="E720" s="49">
        <f>0.06-0.016-0.002</f>
        <v>4.1999999999999996E-2</v>
      </c>
    </row>
    <row r="721" spans="1:5" ht="14.25" x14ac:dyDescent="0.2">
      <c r="A721" s="71" t="s">
        <v>648</v>
      </c>
      <c r="B721" s="6" t="s">
        <v>29</v>
      </c>
      <c r="C721" s="17" t="s">
        <v>211</v>
      </c>
      <c r="D721" s="13">
        <v>65</v>
      </c>
      <c r="E721" s="49">
        <f>6.574</f>
        <v>6.5739999999999998</v>
      </c>
    </row>
    <row r="722" spans="1:5" ht="14.25" x14ac:dyDescent="0.2">
      <c r="A722" s="71" t="s">
        <v>648</v>
      </c>
      <c r="B722" s="6" t="s">
        <v>29</v>
      </c>
      <c r="C722" s="17" t="s">
        <v>211</v>
      </c>
      <c r="D722" s="13">
        <v>70</v>
      </c>
      <c r="E722" s="49">
        <f>0.182-0.015+0.001</f>
        <v>0.16799999999999998</v>
      </c>
    </row>
    <row r="723" spans="1:5" ht="14.25" x14ac:dyDescent="0.2">
      <c r="A723" s="71" t="s">
        <v>648</v>
      </c>
      <c r="B723" s="6" t="s">
        <v>29</v>
      </c>
      <c r="C723" s="17" t="s">
        <v>211</v>
      </c>
      <c r="D723" s="13">
        <v>190</v>
      </c>
      <c r="E723" s="49">
        <f>0.534-0.374</f>
        <v>0.16000000000000003</v>
      </c>
    </row>
    <row r="724" spans="1:5" ht="14.25" x14ac:dyDescent="0.2">
      <c r="A724" s="71" t="s">
        <v>648</v>
      </c>
      <c r="B724" s="6" t="s">
        <v>29</v>
      </c>
      <c r="C724" s="17" t="s">
        <v>211</v>
      </c>
      <c r="D724" s="13">
        <v>200</v>
      </c>
      <c r="E724" s="49">
        <f>0.8-0.418+0.002</f>
        <v>0.38400000000000006</v>
      </c>
    </row>
    <row r="725" spans="1:5" ht="14.25" x14ac:dyDescent="0.2">
      <c r="A725" s="71" t="s">
        <v>648</v>
      </c>
      <c r="B725" s="6" t="s">
        <v>203</v>
      </c>
      <c r="C725" s="17" t="s">
        <v>650</v>
      </c>
      <c r="D725" s="13">
        <v>120</v>
      </c>
      <c r="E725" s="49">
        <f>0.1</f>
        <v>0.1</v>
      </c>
    </row>
    <row r="726" spans="1:5" ht="14.25" x14ac:dyDescent="0.2">
      <c r="A726" s="71" t="s">
        <v>648</v>
      </c>
      <c r="B726" s="6" t="s">
        <v>135</v>
      </c>
      <c r="C726" s="17" t="s">
        <v>136</v>
      </c>
      <c r="D726" s="13">
        <v>85</v>
      </c>
      <c r="E726" s="49">
        <f>1.55-1.095-0.05-0.014</f>
        <v>0.39100000000000007</v>
      </c>
    </row>
    <row r="727" spans="1:5" ht="15" thickBot="1" x14ac:dyDescent="0.25">
      <c r="A727" s="72" t="s">
        <v>648</v>
      </c>
      <c r="B727" s="73" t="s">
        <v>202</v>
      </c>
      <c r="C727" s="73" t="s">
        <v>214</v>
      </c>
      <c r="D727" s="74">
        <v>380</v>
      </c>
      <c r="E727" s="75">
        <f>0.928-0.272</f>
        <v>0.65600000000000003</v>
      </c>
    </row>
  </sheetData>
  <mergeCells count="7">
    <mergeCell ref="A2:E2"/>
    <mergeCell ref="A6:C6"/>
    <mergeCell ref="A7:A8"/>
    <mergeCell ref="B7:B8"/>
    <mergeCell ref="C7:C8"/>
    <mergeCell ref="D7:D8"/>
    <mergeCell ref="E7:E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2021-03-22T08:23:14Z</cp:lastPrinted>
  <dcterms:created xsi:type="dcterms:W3CDTF">2010-04-30T05:40:59Z</dcterms:created>
  <dcterms:modified xsi:type="dcterms:W3CDTF">2021-06-02T05:26:28Z</dcterms:modified>
</cp:coreProperties>
</file>