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Дарья Нужина\Промгруппа\Техподдержка\Выгрузки\"/>
    </mc:Choice>
  </mc:AlternateContent>
  <bookViews>
    <workbookView xWindow="0" yWindow="0" windowWidth="2370" windowHeight="0" tabRatio="599"/>
  </bookViews>
  <sheets>
    <sheet name="Лист2" sheetId="3" r:id="rId1"/>
  </sheets>
  <calcPr calcId="162913"/>
  <fileRecoveryPr autoRecover="0"/>
</workbook>
</file>

<file path=xl/calcChain.xml><?xml version="1.0" encoding="utf-8"?>
<calcChain xmlns="http://schemas.openxmlformats.org/spreadsheetml/2006/main">
  <c r="E307" i="3" l="1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29" i="3"/>
  <c r="E730" i="3"/>
  <c r="E731" i="3"/>
  <c r="E732" i="3"/>
  <c r="E733" i="3"/>
  <c r="E728" i="3"/>
  <c r="E727" i="3"/>
  <c r="E725" i="3"/>
  <c r="E724" i="3"/>
  <c r="E721" i="3"/>
  <c r="E719" i="3"/>
  <c r="E718" i="3"/>
  <c r="E717" i="3"/>
  <c r="E715" i="3"/>
  <c r="E714" i="3"/>
  <c r="E709" i="3"/>
  <c r="E708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8" i="3"/>
  <c r="E677" i="3"/>
  <c r="E676" i="3"/>
  <c r="E675" i="3"/>
  <c r="E674" i="3"/>
  <c r="E673" i="3"/>
  <c r="E672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4" i="3"/>
  <c r="E593" i="3"/>
  <c r="E592" i="3"/>
  <c r="E591" i="3"/>
  <c r="E590" i="3"/>
  <c r="E589" i="3"/>
  <c r="E588" i="3"/>
  <c r="E587" i="3"/>
  <c r="E586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10" i="3"/>
  <c r="E309" i="3"/>
  <c r="E308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8" i="3"/>
  <c r="E207" i="3"/>
  <c r="E206" i="3"/>
  <c r="E205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</calcChain>
</file>

<file path=xl/sharedStrings.xml><?xml version="1.0" encoding="utf-8"?>
<sst xmlns="http://schemas.openxmlformats.org/spreadsheetml/2006/main" count="2869" uniqueCount="651">
  <si>
    <t>№ п/п</t>
  </si>
  <si>
    <t>Марка</t>
  </si>
  <si>
    <t>Требования</t>
  </si>
  <si>
    <t>Размер, мм</t>
  </si>
  <si>
    <t>65Г</t>
  </si>
  <si>
    <t>2,5х1000х2000</t>
  </si>
  <si>
    <t>30ХГСА</t>
  </si>
  <si>
    <t>2х1000х2000</t>
  </si>
  <si>
    <t>3х1000х2000</t>
  </si>
  <si>
    <t>4х1000х2000</t>
  </si>
  <si>
    <t>2,5х600х2000</t>
  </si>
  <si>
    <t>Кол-во, тн</t>
  </si>
  <si>
    <t>10х1500х6000</t>
  </si>
  <si>
    <t>0,8х600х2000</t>
  </si>
  <si>
    <t>ГОСТ 1577-93, 19903-74</t>
  </si>
  <si>
    <t>9ХС</t>
  </si>
  <si>
    <t>У8А</t>
  </si>
  <si>
    <t>Ст.45</t>
  </si>
  <si>
    <t>40Х</t>
  </si>
  <si>
    <t>Полоса, ТУ 14-1-1579-2006</t>
  </si>
  <si>
    <t>ТУ 14-1-4118-2004, г/к, травленый, Б, III, ПН, НО, ТО</t>
  </si>
  <si>
    <t>У10А</t>
  </si>
  <si>
    <t>2,5х1250х2500</t>
  </si>
  <si>
    <t>60С2А</t>
  </si>
  <si>
    <t>Ст.20</t>
  </si>
  <si>
    <t>ГОСТ 16523-97</t>
  </si>
  <si>
    <t>4Х5МФС</t>
  </si>
  <si>
    <t>8х1500х6000</t>
  </si>
  <si>
    <t>Ст20</t>
  </si>
  <si>
    <t>Ст35</t>
  </si>
  <si>
    <t>0,8х1250х2500</t>
  </si>
  <si>
    <t>1,5х1200х2000</t>
  </si>
  <si>
    <t>1,2х1200х2000</t>
  </si>
  <si>
    <t>1,0х1200х2000</t>
  </si>
  <si>
    <t>16х1500х6000</t>
  </si>
  <si>
    <t>2,5х1200х2000</t>
  </si>
  <si>
    <t>ГОСТ 4543-71, ТУ 14-1-4118-2004</t>
  </si>
  <si>
    <t>0,5х350х2000</t>
  </si>
  <si>
    <t>ГОСТ 19904-90, 16523-97, БТ-ПН-О, ТО, травл.</t>
  </si>
  <si>
    <t>30х40</t>
  </si>
  <si>
    <t>20х1500х6000</t>
  </si>
  <si>
    <t>0,7х350х2000</t>
  </si>
  <si>
    <t>ГОСТ 14959-79, ГОСТ 2283-79, Н, О, С, ТШ</t>
  </si>
  <si>
    <t>1,5х450х2000</t>
  </si>
  <si>
    <t>2х450х2000</t>
  </si>
  <si>
    <t>ГОСТ 16523-97, 19904-90</t>
  </si>
  <si>
    <t>ГОСТ 14959-79, ГОСТ 2283-79, С-НО</t>
  </si>
  <si>
    <t>3х450х2000</t>
  </si>
  <si>
    <t>3,5х1000х2000</t>
  </si>
  <si>
    <t>1,5х1000х2000</t>
  </si>
  <si>
    <t>3х450х1000</t>
  </si>
  <si>
    <t>ГОСТ 19904-90, 11268-76, БТ-IV-ПН-О</t>
  </si>
  <si>
    <t>1,2х450х2000</t>
  </si>
  <si>
    <t>ГОСТ 4543-71, 11268-76, 19904-90, БД, БТ, БШ</t>
  </si>
  <si>
    <t>12х1500х6000</t>
  </si>
  <si>
    <t>1х1250х2500</t>
  </si>
  <si>
    <t>6х1500х6000</t>
  </si>
  <si>
    <t>0,7х450х2000</t>
  </si>
  <si>
    <t>0,8х450х2000</t>
  </si>
  <si>
    <t>7х1500х6000</t>
  </si>
  <si>
    <t>0,5х1250х2500</t>
  </si>
  <si>
    <t>22х1500х6000</t>
  </si>
  <si>
    <t>0,8х350х2000</t>
  </si>
  <si>
    <t>ХВГ</t>
  </si>
  <si>
    <t>5х1000х2000</t>
  </si>
  <si>
    <t xml:space="preserve">1х450х2000    </t>
  </si>
  <si>
    <t>Р18</t>
  </si>
  <si>
    <t>1,7х450х2000</t>
  </si>
  <si>
    <t>1,8х450х2000</t>
  </si>
  <si>
    <t>30х1500х6000</t>
  </si>
  <si>
    <t>5х1500х6000</t>
  </si>
  <si>
    <t>07Х3ГНМЮА</t>
  </si>
  <si>
    <t>3х1000х2750-2850</t>
  </si>
  <si>
    <t>5х1000х1650</t>
  </si>
  <si>
    <t>Х12МФ</t>
  </si>
  <si>
    <t>ГОСТ 4405, отж, 2ГП, подгр.а</t>
  </si>
  <si>
    <t>Протокол 132-126-2016</t>
  </si>
  <si>
    <t>ТУ 14-132-240-2011</t>
  </si>
  <si>
    <t>6х1000х2000</t>
  </si>
  <si>
    <t>40Х13</t>
  </si>
  <si>
    <t>14х1500х6000</t>
  </si>
  <si>
    <t>4Х4ВМФС</t>
  </si>
  <si>
    <t>1,5х1250х2500</t>
  </si>
  <si>
    <t>0,6х350х2000</t>
  </si>
  <si>
    <t>Ст50</t>
  </si>
  <si>
    <t>Протокол 132-34-2016</t>
  </si>
  <si>
    <t>1,6х450х2000</t>
  </si>
  <si>
    <t>Р6М5</t>
  </si>
  <si>
    <t>25х1500х5000-6000</t>
  </si>
  <si>
    <t>ТУ 14-132-208-2001, 19903-2015 М5г, О, отжиг б/травл.</t>
  </si>
  <si>
    <t>40х1200-1300х3500-4000</t>
  </si>
  <si>
    <t>ТУ 14-132-208-2001, 19903-2015 М5г, НО, отжиг б/травл.</t>
  </si>
  <si>
    <t>60х1000-1100х2800-3300</t>
  </si>
  <si>
    <t>2,5х450х2000</t>
  </si>
  <si>
    <t>30х1500х4500-5000</t>
  </si>
  <si>
    <t>50х1000-1100х3500-4000</t>
  </si>
  <si>
    <t>ГОСТ 4543-71, 11268-76, 19904-90</t>
  </si>
  <si>
    <t>3,0х1000х2000</t>
  </si>
  <si>
    <t>80х500х360</t>
  </si>
  <si>
    <t>70х800-900х3200-3700</t>
  </si>
  <si>
    <t>ГОСТ 1435-99, 2590-2006,  В1-н/дл-подгр.а- 2ГП-ТО, отжиг</t>
  </si>
  <si>
    <t>ГОСТ 14959-79, ГОСТ 2283-79</t>
  </si>
  <si>
    <t>2х1000х1600</t>
  </si>
  <si>
    <t>100х700-800х2200-2700</t>
  </si>
  <si>
    <t>1,0х450х2000</t>
  </si>
  <si>
    <t>2,0х450х2000</t>
  </si>
  <si>
    <t>ГОСТ 2284-79, 1050-2013</t>
  </si>
  <si>
    <t>ГОСТ 19903-2015, 1577-93</t>
  </si>
  <si>
    <t>0,8х1000х2000</t>
  </si>
  <si>
    <t>ГОСТ 16523-97, 19904-90, АТП</t>
  </si>
  <si>
    <t>5х1500х5500-6000</t>
  </si>
  <si>
    <t>80х700-800х3000-3500</t>
  </si>
  <si>
    <t>1,5х1000х1900</t>
  </si>
  <si>
    <t>ГОСТ 2284-79, 1050-2013, х/к</t>
  </si>
  <si>
    <t>10х1500х5500-6500</t>
  </si>
  <si>
    <t>0,7х1250х2500</t>
  </si>
  <si>
    <t>3х1250х2000</t>
  </si>
  <si>
    <t>ГОСТ 4543-71, 11268-76, 19904-90, ПН, БД, БТ, БШ</t>
  </si>
  <si>
    <t>36х1500х6000</t>
  </si>
  <si>
    <t>25х1500х6000</t>
  </si>
  <si>
    <t>8х1000х2000</t>
  </si>
  <si>
    <t>10х1000х2000</t>
  </si>
  <si>
    <t>ГОСТ 1577-93, 19903-74, отжиг, Б-ПН-НО</t>
  </si>
  <si>
    <t>8х1500х5900</t>
  </si>
  <si>
    <t>70х800-900х330</t>
  </si>
  <si>
    <t>1х1000х2000</t>
  </si>
  <si>
    <t>Р6М5К5</t>
  </si>
  <si>
    <t>Р9К5</t>
  </si>
  <si>
    <t>ГОСТ 19265, 2590</t>
  </si>
  <si>
    <t>ГОСТ 14955,19265,гр.В,h9,т/о,н/д</t>
  </si>
  <si>
    <t>сер. 3,5</t>
  </si>
  <si>
    <t>сер. 6,4</t>
  </si>
  <si>
    <t>сер. 10,5</t>
  </si>
  <si>
    <t>сер. 5,5</t>
  </si>
  <si>
    <t>сер. 6,0</t>
  </si>
  <si>
    <t>сер. 5,0</t>
  </si>
  <si>
    <t>сер. 6,5</t>
  </si>
  <si>
    <t>ГОСТ 1435-99, 2590-2006</t>
  </si>
  <si>
    <t>ГОСТ 5950-2000, ГОСТ 2590-2006</t>
  </si>
  <si>
    <t>сер. 6,3</t>
  </si>
  <si>
    <t>ГОСТ 14955,5950,гр.В,h9,т/о,н/д</t>
  </si>
  <si>
    <t>5ХНМ</t>
  </si>
  <si>
    <t>Ст25</t>
  </si>
  <si>
    <t>ГОСТ 2590,1050</t>
  </si>
  <si>
    <t>ТУ 14-1-1530, ГОСТ 5950</t>
  </si>
  <si>
    <t>38ХА</t>
  </si>
  <si>
    <t>ГОСТ 4543, 2590</t>
  </si>
  <si>
    <t>сер. 3,4</t>
  </si>
  <si>
    <t>сер. 4,4</t>
  </si>
  <si>
    <t>сер. 5,3</t>
  </si>
  <si>
    <t>сер. 8,0</t>
  </si>
  <si>
    <t xml:space="preserve"> сер.12</t>
  </si>
  <si>
    <t>Протокол 132-88-2018</t>
  </si>
  <si>
    <t>ГОСТ 4543-16, 19903-15, ТУ 14-105-712-03, Б-ПН-НО</t>
  </si>
  <si>
    <t>2х1250х2500</t>
  </si>
  <si>
    <t>ГОСТ 2590, 19265</t>
  </si>
  <si>
    <t>5х1250х2500</t>
  </si>
  <si>
    <t>ГОСТ 2284-79, ГОСТ 1050-2013, отожжённая, Т-Ш-С</t>
  </si>
  <si>
    <t>40х1500х4500-5300</t>
  </si>
  <si>
    <t>40х1500х4000</t>
  </si>
  <si>
    <t>ТУ 14-1-3370-2006, отжиг, НО</t>
  </si>
  <si>
    <t>ТУ 14-1-3370-2006, ГОСТ 19904-90, БТ отжиг, травл., НО</t>
  </si>
  <si>
    <t>ТУ 14-1-3370-2006, ГОСТ 19903-74, БТ отжиг, травл., О</t>
  </si>
  <si>
    <t>10х1250х2500</t>
  </si>
  <si>
    <t>8х1250х2500</t>
  </si>
  <si>
    <t>ГОСТ 801,2590,г/о,т/о,н/д</t>
  </si>
  <si>
    <t>ГОСТ 19903-15, 1577-93, Б, ПН, О</t>
  </si>
  <si>
    <t>100х500х2600</t>
  </si>
  <si>
    <t>100х500х2400-2500</t>
  </si>
  <si>
    <t>50х1000-1100х200</t>
  </si>
  <si>
    <t>12х400</t>
  </si>
  <si>
    <t>12х500</t>
  </si>
  <si>
    <t>60х500</t>
  </si>
  <si>
    <t xml:space="preserve">ТУ 14-19-103-90  </t>
  </si>
  <si>
    <t>ТУ 0902-004-67789391-2012</t>
  </si>
  <si>
    <t>сер. 4,0</t>
  </si>
  <si>
    <t>ГОСТ 5950-2000, ГОСТ 8479</t>
  </si>
  <si>
    <t>50х1500х2310</t>
  </si>
  <si>
    <t>ГОСТ 5950-2000, 19903-74, Пр.132-126-2016, отжиг, травление</t>
  </si>
  <si>
    <t>4х1000х1900</t>
  </si>
  <si>
    <t>90х700-800х2700-3200</t>
  </si>
  <si>
    <t>2х1000х1900</t>
  </si>
  <si>
    <t>4Х5МФ1С</t>
  </si>
  <si>
    <t>110х610</t>
  </si>
  <si>
    <t>ГОСТ 4405, ГОСТ 5950-2000</t>
  </si>
  <si>
    <t>2х900-1000х1900-2000</t>
  </si>
  <si>
    <t>4х900-1000х1900-2000</t>
  </si>
  <si>
    <t>15х1400х6000</t>
  </si>
  <si>
    <t>20х610</t>
  </si>
  <si>
    <t>ГОСТ 5950-2000, ГОСТ 4405</t>
  </si>
  <si>
    <t>6х1500х690</t>
  </si>
  <si>
    <t>30х2000х1480</t>
  </si>
  <si>
    <t>70х610</t>
  </si>
  <si>
    <t>60х510</t>
  </si>
  <si>
    <t>80х510</t>
  </si>
  <si>
    <t>100х610</t>
  </si>
  <si>
    <t>120х610</t>
  </si>
  <si>
    <t>300х810</t>
  </si>
  <si>
    <t>4Х5МФС-Ш</t>
  </si>
  <si>
    <t>ГОСТ 5950, 4405</t>
  </si>
  <si>
    <t>ГОСТ 5950-2000, ГОСТ 1133-71</t>
  </si>
  <si>
    <t>0,5х450х2000</t>
  </si>
  <si>
    <t>10х610</t>
  </si>
  <si>
    <t>30х610</t>
  </si>
  <si>
    <t>10х1200х2000</t>
  </si>
  <si>
    <t>10х1500х340</t>
  </si>
  <si>
    <t>18х1500х6000</t>
  </si>
  <si>
    <t>8х1500х5000-6000</t>
  </si>
  <si>
    <t>ТУ 14-132-208-2001, 19903-2015 М5г, Б, О, отжиг б/травл.</t>
  </si>
  <si>
    <t>8х1500х5500-6500</t>
  </si>
  <si>
    <t>12х1500х5500-6000</t>
  </si>
  <si>
    <t>ГОСТ 7350-77, 19903-2015 М5г, Б, О, закалка, травл.</t>
  </si>
  <si>
    <t>ТУ 14-1-5243, ГОСТ 1133</t>
  </si>
  <si>
    <t>90х610</t>
  </si>
  <si>
    <t>2,5х600х1300</t>
  </si>
  <si>
    <t>12х1500х5290</t>
  </si>
  <si>
    <t>1,0х1250х2500</t>
  </si>
  <si>
    <t>Ст45</t>
  </si>
  <si>
    <t>Ст3</t>
  </si>
  <si>
    <t>90х700-800х1630</t>
  </si>
  <si>
    <t>ЛЕНТА 0,5х75</t>
  </si>
  <si>
    <t>ГОСТ 2283-79, 1435-99, С</t>
  </si>
  <si>
    <t>ГОСТ 14959-79, ГОСТ 2283-79, С</t>
  </si>
  <si>
    <t>125х2000х3000</t>
  </si>
  <si>
    <t>6х1500х5500-6000</t>
  </si>
  <si>
    <t>ГОСТ 14955-77, 5950,гр.В,h9,т/о,н/д</t>
  </si>
  <si>
    <t>ГОСТ 1577-93, 19903-2015</t>
  </si>
  <si>
    <t>ГОСТ 19903-74, 14637-89, 380-05</t>
  </si>
  <si>
    <t>ГОСТ 2590-2006,1050</t>
  </si>
  <si>
    <t>Протокол 132-50-2019</t>
  </si>
  <si>
    <t>30х1500х4000-5000</t>
  </si>
  <si>
    <t>ГОСТ 8479-70, 1050,   УЗК</t>
  </si>
  <si>
    <t>ГОСТ 2590, 4543</t>
  </si>
  <si>
    <t>5ХВ2СФ</t>
  </si>
  <si>
    <t>Р9М4К8</t>
  </si>
  <si>
    <t>30х150</t>
  </si>
  <si>
    <t>10ХСНД</t>
  </si>
  <si>
    <t>ГОСТ 19281-2014, 19903-74</t>
  </si>
  <si>
    <t>90х500х1800</t>
  </si>
  <si>
    <t>ТУ 14-123-199-2012</t>
  </si>
  <si>
    <t>12х610</t>
  </si>
  <si>
    <t>ГОСТ 19903-15, 1577-93,1050-2013, Б, ПН, О</t>
  </si>
  <si>
    <t>ГОСТ 19903-2015, 1577-93, 14959-2016, Б, ПН, О</t>
  </si>
  <si>
    <t>ГОСТ 1577-93, 19903-2015, 1050-2013, Б, ПН, О</t>
  </si>
  <si>
    <t>ЛЕНТА 1,0х85</t>
  </si>
  <si>
    <t>ЛЕНТА 0,5х12</t>
  </si>
  <si>
    <t>ГОСТ 5950-2000,  4405-75</t>
  </si>
  <si>
    <t>35х1200-1500х300</t>
  </si>
  <si>
    <t>Х12Ф1</t>
  </si>
  <si>
    <t>75х200</t>
  </si>
  <si>
    <t>ГОСТ 4543-2016, 11268-76, 19904-90, ПН, БД, БТ, БШ</t>
  </si>
  <si>
    <t>2х800-1000х1800-2000</t>
  </si>
  <si>
    <t>3Х2В8Ф</t>
  </si>
  <si>
    <t>12х1500х380</t>
  </si>
  <si>
    <t>12х1500х3000</t>
  </si>
  <si>
    <t>50х1000-1100х520</t>
  </si>
  <si>
    <t>ТУ 14-1-4118-2004, ГОСТ 19903-2015, ТО</t>
  </si>
  <si>
    <t>ТУ 14-132-240-2011, ГОСТ 19903-2015 отжиг</t>
  </si>
  <si>
    <t>8х610</t>
  </si>
  <si>
    <t>16х610</t>
  </si>
  <si>
    <t>25х610</t>
  </si>
  <si>
    <t>ГОСТ 1133-71, ГОСТ 5950-2000</t>
  </si>
  <si>
    <t>ГОСТ 5950-2000, ГОСТ 8479-70</t>
  </si>
  <si>
    <t>ГОСТ 5950-2000, 2590-2006, 21120-75</t>
  </si>
  <si>
    <t>30х1500х660</t>
  </si>
  <si>
    <t>35х1200-1300х3740</t>
  </si>
  <si>
    <t>65х1000-1100х2800-3300</t>
  </si>
  <si>
    <t>ГОСТ 11269-76, 19903-2015</t>
  </si>
  <si>
    <t>20х47</t>
  </si>
  <si>
    <t>ГОСТ 19265,  103-2006</t>
  </si>
  <si>
    <t>125х2000х500</t>
  </si>
  <si>
    <t>125х2000х2500</t>
  </si>
  <si>
    <t>Ст3сп-1</t>
  </si>
  <si>
    <t>4Х5В2ФС-Ш</t>
  </si>
  <si>
    <t>ГОСТ 14959, 2590, В1, 3ГП, КМС2-4А</t>
  </si>
  <si>
    <t>ГОСТ 5950-2000, ГОСТ 2590-2006, В1, 2ГП, Т/О</t>
  </si>
  <si>
    <t>ГОСТ 4543-2016,  2590-2006, В1, 2ГП</t>
  </si>
  <si>
    <t>ГОСТ 5950-2000, 2590-2006, В1, а-2ГП, Т/О</t>
  </si>
  <si>
    <t>160х1500х3500</t>
  </si>
  <si>
    <t>ГОСТ 14959, 2590, В1, 2ГП, Т/О</t>
  </si>
  <si>
    <t>ГОСТ 5950, 8479-70</t>
  </si>
  <si>
    <t xml:space="preserve">ТУ 14-134-427-2006             </t>
  </si>
  <si>
    <t>50х1100х5000</t>
  </si>
  <si>
    <t>100х50-57</t>
  </si>
  <si>
    <t>150х1500х5000</t>
  </si>
  <si>
    <t>ГОСТ 1577-93, 19903-2015, 4543-2016, Б, ПН, НО</t>
  </si>
  <si>
    <t>8х1500х5100-5500</t>
  </si>
  <si>
    <t>кв.65</t>
  </si>
  <si>
    <t>20х1500х4500-6000</t>
  </si>
  <si>
    <t>35х1200-1300х4000-5000</t>
  </si>
  <si>
    <t>50х1000-1100х890</t>
  </si>
  <si>
    <t>ГОСТ 19903-2015, 1577-93, Б, ПН, О</t>
  </si>
  <si>
    <t>ГОСТ 5950-2000, ГОСТ 2591-2006(1)</t>
  </si>
  <si>
    <t>80х500 (сутунка)</t>
  </si>
  <si>
    <t>5,0х1000х2000</t>
  </si>
  <si>
    <t>ГОСТ 19904-90, 11269-76, БТ-IV-ПН-О</t>
  </si>
  <si>
    <t>6ХВ2С</t>
  </si>
  <si>
    <t>18х610</t>
  </si>
  <si>
    <t>35х610</t>
  </si>
  <si>
    <t>40х610</t>
  </si>
  <si>
    <t>45х610</t>
  </si>
  <si>
    <t xml:space="preserve">ГОСТ 1050-2013, 2590-2006 </t>
  </si>
  <si>
    <t>ГОСТ 2284-79, ГОСТ 1050-2013,  Т-Ш-С</t>
  </si>
  <si>
    <t>2х1210х2000</t>
  </si>
  <si>
    <t>12х1500х3500-4500</t>
  </si>
  <si>
    <t>25х1200-1300х3500-4500</t>
  </si>
  <si>
    <t>40х1000-1100х2500-3500</t>
  </si>
  <si>
    <t>ТУ 14-132-208-2001, 19903-2015,  отжиг,  б/травл.</t>
  </si>
  <si>
    <t>1,0х310х2000</t>
  </si>
  <si>
    <t>80х1500х360</t>
  </si>
  <si>
    <t>30х1500х2110</t>
  </si>
  <si>
    <t>90х1500х1070</t>
  </si>
  <si>
    <t>16х1500х4500-5500</t>
  </si>
  <si>
    <t>50х900-1000х2200-2800</t>
  </si>
  <si>
    <t>60х900-1000х2000-2700</t>
  </si>
  <si>
    <t>15х1500х1000</t>
  </si>
  <si>
    <t>20х92-94 (дл. 1807мм)</t>
  </si>
  <si>
    <t>20х95-98 (дл. 1645мм)</t>
  </si>
  <si>
    <t>20х93-96 (дл. 1645мм)</t>
  </si>
  <si>
    <t>30х50-53 (дл. 2135мм)</t>
  </si>
  <si>
    <t>30х1500х4000-4500</t>
  </si>
  <si>
    <t>0,5х220х2000</t>
  </si>
  <si>
    <t>0,8х220х2000</t>
  </si>
  <si>
    <t>1,5х220х2000</t>
  </si>
  <si>
    <t>40х510</t>
  </si>
  <si>
    <t>50х510</t>
  </si>
  <si>
    <t>80х610</t>
  </si>
  <si>
    <t>150х610</t>
  </si>
  <si>
    <t>8х1500х4500</t>
  </si>
  <si>
    <t>ШХ15-В</t>
  </si>
  <si>
    <t>12,5х1500х6000</t>
  </si>
  <si>
    <t>8х1450х6000</t>
  </si>
  <si>
    <t>ГОСТ 19903-2015, ТУ 14-1-4148-2014, ПН, НО</t>
  </si>
  <si>
    <t>ТУ 14-1-1409-2018, 19903-2015 М5г, Б, О, отжиг б/травл.</t>
  </si>
  <si>
    <t>5х1500х4500-5500</t>
  </si>
  <si>
    <t>16х1500х4600-6000</t>
  </si>
  <si>
    <t>ТУ 14-1-1409-2018, 19903-2015, Б-ПН-О, отжиг</t>
  </si>
  <si>
    <t>50х1000-1100х560</t>
  </si>
  <si>
    <t>30х1500х1980</t>
  </si>
  <si>
    <t>60х1000-1100х380</t>
  </si>
  <si>
    <t>ГОСТ 14959-2016, 19904-90, ТУ 14-1-4118-2004</t>
  </si>
  <si>
    <t xml:space="preserve">ГОСТ 14959-2016, 19904-90, ТУ 14-1-4118-2004 </t>
  </si>
  <si>
    <t>ГОСТ 5950-2000, ГОСТ 4405-75</t>
  </si>
  <si>
    <t>14х1500х5270</t>
  </si>
  <si>
    <t>60х190х790</t>
  </si>
  <si>
    <t>ГОСТ 5950-2000, 19903-2015, Пр.132-126-2016, отжиг, травление</t>
  </si>
  <si>
    <t>60х610</t>
  </si>
  <si>
    <t>65х610</t>
  </si>
  <si>
    <t>5х1500х2490</t>
  </si>
  <si>
    <t>65х245</t>
  </si>
  <si>
    <t>45х370</t>
  </si>
  <si>
    <t>10х1500х285</t>
  </si>
  <si>
    <t>12х1500х985</t>
  </si>
  <si>
    <t>14х1500х300</t>
  </si>
  <si>
    <t>14х1500х380</t>
  </si>
  <si>
    <t>50х410</t>
  </si>
  <si>
    <t>90х1500х4200</t>
  </si>
  <si>
    <t>25х1500х1775</t>
  </si>
  <si>
    <t>80х1500х2030</t>
  </si>
  <si>
    <t>ГОСТ 5950-2000, 4405-75</t>
  </si>
  <si>
    <t>ГОСТ 19903-2015, 1577-93, Б, ПН, НО</t>
  </si>
  <si>
    <t>10х1500х330</t>
  </si>
  <si>
    <t>ГОСТ 19903-15, 1577-93, Б, ПН, НО</t>
  </si>
  <si>
    <t>50х1000-1100х1000</t>
  </si>
  <si>
    <t>80х1200х3800</t>
  </si>
  <si>
    <t>0,5х300х2000</t>
  </si>
  <si>
    <t>0,5х320х2000</t>
  </si>
  <si>
    <t>ТУ 14-550-6-94, ГОСТ 14959-2016</t>
  </si>
  <si>
    <t>0,7х320х2000</t>
  </si>
  <si>
    <t>0,8х320х2000</t>
  </si>
  <si>
    <t>1,0х320х2000</t>
  </si>
  <si>
    <t>1,2х320х2000</t>
  </si>
  <si>
    <t>1,5х320х2000</t>
  </si>
  <si>
    <t>2,0х320х2000</t>
  </si>
  <si>
    <t xml:space="preserve">95Х18 </t>
  </si>
  <si>
    <t>сер.6</t>
  </si>
  <si>
    <t>ГОСТ 14955-77, 5949-2018</t>
  </si>
  <si>
    <t>20х1500х300</t>
  </si>
  <si>
    <t>ТУ 14-132-208-2001, ГОСТ 19903-2015 М5г, Б, О, б/травл.</t>
  </si>
  <si>
    <t>8х1500х5500-6000</t>
  </si>
  <si>
    <t>ГОСТ 5950-2000, 2590-2006, В1, а-2ГП, обточка, отж.</t>
  </si>
  <si>
    <t>80х1220х360</t>
  </si>
  <si>
    <t>4,5х800</t>
  </si>
  <si>
    <t>5х800</t>
  </si>
  <si>
    <t>5,5х800</t>
  </si>
  <si>
    <t>6х800</t>
  </si>
  <si>
    <t>2х800 х/к</t>
  </si>
  <si>
    <t>ГОСТ 5950-2000</t>
  </si>
  <si>
    <t>120х1500х1120</t>
  </si>
  <si>
    <t>ТУ14-1-4118-2004, ГОСТ 19903-2015, ТО</t>
  </si>
  <si>
    <t xml:space="preserve">ТУ14-1-4118-2004, ГОСТ 19903-2015, О, </t>
  </si>
  <si>
    <t>80х700-800х160</t>
  </si>
  <si>
    <t>60х1000-1100х1000</t>
  </si>
  <si>
    <t>80х920х1570</t>
  </si>
  <si>
    <t>20х1500х770</t>
  </si>
  <si>
    <t>12х2000х3535</t>
  </si>
  <si>
    <t>4х1500х4180</t>
  </si>
  <si>
    <t>70х1500х1460</t>
  </si>
  <si>
    <t>50х1000-1100х310</t>
  </si>
  <si>
    <t>ТУ 14-134-427-2006, ГОСТ 19903-2015</t>
  </si>
  <si>
    <t>2,0х1200х1640</t>
  </si>
  <si>
    <t>60х1000-1100х770</t>
  </si>
  <si>
    <t>Протокол 132-146-2019</t>
  </si>
  <si>
    <t>120х700-800х2000-2500</t>
  </si>
  <si>
    <t>Протокол 132-245-2020</t>
  </si>
  <si>
    <t>ГОСТ 19903-2015, ТУ 14-123-199-2012</t>
  </si>
  <si>
    <t>120х1500х3200</t>
  </si>
  <si>
    <t>10х1500х680</t>
  </si>
  <si>
    <t>12х1500х3260</t>
  </si>
  <si>
    <t>16х1500х290</t>
  </si>
  <si>
    <t>20х500х3000</t>
  </si>
  <si>
    <t>30х1100-1200х490</t>
  </si>
  <si>
    <t>14х1500х470</t>
  </si>
  <si>
    <t>20х1500х5070</t>
  </si>
  <si>
    <t>4х1500х1505</t>
  </si>
  <si>
    <t>40х1500х5230</t>
  </si>
  <si>
    <t>70х1200х1720</t>
  </si>
  <si>
    <t>50х1000-1100х740</t>
  </si>
  <si>
    <t>3х1200х2000</t>
  </si>
  <si>
    <t>ТУ 14-132-208-2001, 19903-15, Б, М5г, ПН, О</t>
  </si>
  <si>
    <t>100х500х1110</t>
  </si>
  <si>
    <t>10х1500х1280</t>
  </si>
  <si>
    <t>36х1500х360</t>
  </si>
  <si>
    <t>ГОСТ 5950-2000, ГОСТ 2590-2006, В1, 2ГП</t>
  </si>
  <si>
    <t>10х1500х5500-6000</t>
  </si>
  <si>
    <t>Протокол 132-257-2020</t>
  </si>
  <si>
    <t>35х1200-1300х4000-4500</t>
  </si>
  <si>
    <t>55х1000-1100х3000-3600</t>
  </si>
  <si>
    <t>45х1000-1100х4000-4500</t>
  </si>
  <si>
    <t>16х1500х4010</t>
  </si>
  <si>
    <t>20х1500х315</t>
  </si>
  <si>
    <t>30х1500х3000</t>
  </si>
  <si>
    <t xml:space="preserve">ГОСТ 19903-2015, ТУ 14-1-4148-2014, ПН, НО, РТ-Техприемка  </t>
  </si>
  <si>
    <t>6х1500х1420</t>
  </si>
  <si>
    <t>0,8х390х2000</t>
  </si>
  <si>
    <t>80х700-800х2280</t>
  </si>
  <si>
    <t>8х1500х3070</t>
  </si>
  <si>
    <t>6х1500х2980</t>
  </si>
  <si>
    <t>16х1500х1000</t>
  </si>
  <si>
    <t>6х1500х3840</t>
  </si>
  <si>
    <t>3Х2В8Ф-Ш</t>
  </si>
  <si>
    <t>100х500х1040</t>
  </si>
  <si>
    <t>20х1500х4050</t>
  </si>
  <si>
    <t>15х1500х2660</t>
  </si>
  <si>
    <t>30х1500х360</t>
  </si>
  <si>
    <t>6х1500х3000</t>
  </si>
  <si>
    <t>8х1500х3230</t>
  </si>
  <si>
    <t>120х700-800х400</t>
  </si>
  <si>
    <t>12х1500х445</t>
  </si>
  <si>
    <t>70х800-900х440</t>
  </si>
  <si>
    <t>12х1500х580</t>
  </si>
  <si>
    <t>25х1500х780</t>
  </si>
  <si>
    <t>120х700-800х2220</t>
  </si>
  <si>
    <t>14х1500х5000-6000</t>
  </si>
  <si>
    <t>16х1500х2895</t>
  </si>
  <si>
    <t>50х1000-1100х1260</t>
  </si>
  <si>
    <t>20х1500х1790</t>
  </si>
  <si>
    <t>60х210х390</t>
  </si>
  <si>
    <t>12х1500х3080</t>
  </si>
  <si>
    <t>22х1500х1910</t>
  </si>
  <si>
    <t>40х1500х970</t>
  </si>
  <si>
    <t>30х2000х2370</t>
  </si>
  <si>
    <t>ТУ 14-1-1409-2018, 19903-2015, Б-ПН-О, отжиг, трав., промасл.</t>
  </si>
  <si>
    <t>12х1500х2995</t>
  </si>
  <si>
    <t>5х1500х310</t>
  </si>
  <si>
    <t>12х1500х700</t>
  </si>
  <si>
    <t>14х1500х2950</t>
  </si>
  <si>
    <t>40х1500х1160</t>
  </si>
  <si>
    <t>50х1500х610</t>
  </si>
  <si>
    <t>80х1500х530</t>
  </si>
  <si>
    <t>90х1500х3290</t>
  </si>
  <si>
    <t>ГОСТ 5582-75, 19903-15, Б, М4г, О</t>
  </si>
  <si>
    <t>4,5х1000х2000</t>
  </si>
  <si>
    <t>20х2000х1750</t>
  </si>
  <si>
    <t>18х1500х2890</t>
  </si>
  <si>
    <t>160х1500х830</t>
  </si>
  <si>
    <t>5х1500х970</t>
  </si>
  <si>
    <t>20х1500х430</t>
  </si>
  <si>
    <t>8х1500х3200</t>
  </si>
  <si>
    <t>50х420х810</t>
  </si>
  <si>
    <t>110х1500х300</t>
  </si>
  <si>
    <t>110х350х1170</t>
  </si>
  <si>
    <t>60х340х740</t>
  </si>
  <si>
    <t>160х280х1160</t>
  </si>
  <si>
    <t>160х1500х2900</t>
  </si>
  <si>
    <t>130х840х160</t>
  </si>
  <si>
    <t>162х490х375</t>
  </si>
  <si>
    <t>300х200х490</t>
  </si>
  <si>
    <t>30х1100-1200х1520</t>
  </si>
  <si>
    <t>20х1500х920</t>
  </si>
  <si>
    <t>10х1500х310</t>
  </si>
  <si>
    <t>6х1500х4500</t>
  </si>
  <si>
    <t>25х1500х2900</t>
  </si>
  <si>
    <t>ШХ15-Ш</t>
  </si>
  <si>
    <t>ШХ15СГ-Ш</t>
  </si>
  <si>
    <t>ГОСТ 801-78, 2590-2006</t>
  </si>
  <si>
    <t>ГОСТ 11269-76, отжиг, травл., 19903-2015, ПН-О, РТ-Техприемка</t>
  </si>
  <si>
    <t>10х1500х5900-5925</t>
  </si>
  <si>
    <t>7х1500х5900-5925</t>
  </si>
  <si>
    <t>ГОСТ 11268-76, отжиг, травл., 19903-2015, Б, ПН-О, РТ-Техприемка</t>
  </si>
  <si>
    <t>ГОСТ 11269-76,  отжиг, травление, промасливание, 19903-2015, ПН-О</t>
  </si>
  <si>
    <t>ГОСТ 11269-76, отжиг, травление, промасливание, 19903-2015, ПН-О</t>
  </si>
  <si>
    <t>ГОСТ 11269-76, 19903-2015, ПН-НО,  РТ-Техприемка</t>
  </si>
  <si>
    <t>ГОСТ 11269-76, 19903-15</t>
  </si>
  <si>
    <t>ГОСТ 11269-76, 19903-2015, РТ-Техприемка</t>
  </si>
  <si>
    <t>ГОСТ 11269-76, 19903-15, РТ-Техприемка</t>
  </si>
  <si>
    <t>ГОСТ 11269-76,  19903-2015, О, РТ-Техприемка</t>
  </si>
  <si>
    <t>ГОСТ 19903-2015, ТУ 14-1-4148-2014</t>
  </si>
  <si>
    <t xml:space="preserve">ГОСТ 19903-2015, ТУ 14-1-4148-2014, РТ-Техприемка  </t>
  </si>
  <si>
    <t>ТУ 14-1-1409-75, 19903-2015, Б-ПН-О, отжиг</t>
  </si>
  <si>
    <t>30х1500х2750</t>
  </si>
  <si>
    <t>16х1500х880</t>
  </si>
  <si>
    <t>12х1500х740</t>
  </si>
  <si>
    <t>ГОСТ 14959-2016, ГОСТ 2283-79</t>
  </si>
  <si>
    <t>8х1500х4720</t>
  </si>
  <si>
    <t>50х1500х1800</t>
  </si>
  <si>
    <t>70х800-900х1320</t>
  </si>
  <si>
    <t>50х1500х300</t>
  </si>
  <si>
    <t>50х540х940</t>
  </si>
  <si>
    <t>70х360х760</t>
  </si>
  <si>
    <t>110х630х970</t>
  </si>
  <si>
    <t>110х550х280</t>
  </si>
  <si>
    <t>40х1200-1300х700</t>
  </si>
  <si>
    <t>10х1500х2490</t>
  </si>
  <si>
    <t>30х1500х1300</t>
  </si>
  <si>
    <t>30х1500х930</t>
  </si>
  <si>
    <t>160х1500х1400</t>
  </si>
  <si>
    <t>30х1500х1000</t>
  </si>
  <si>
    <t>50х1000-1100х1950</t>
  </si>
  <si>
    <t>60х1000-1100х2450</t>
  </si>
  <si>
    <t>8х1500х1540</t>
  </si>
  <si>
    <t>ГОСТ 11269-76, отжиг, травл., 19903-2015, Б, ПН-О, РТ-Техприемка</t>
  </si>
  <si>
    <t>8х1500х1950</t>
  </si>
  <si>
    <t>12х1500х3520</t>
  </si>
  <si>
    <t>90х700-800х1980</t>
  </si>
  <si>
    <t>100х700-800х1260</t>
  </si>
  <si>
    <t>09Г2С</t>
  </si>
  <si>
    <t>10х2000х6000</t>
  </si>
  <si>
    <t>ГОСТ 19903-2015, 19281-2014, 22727-88</t>
  </si>
  <si>
    <t>60х550-650х3000-4000</t>
  </si>
  <si>
    <t>60х550-650х2130</t>
  </si>
  <si>
    <t>16х1500х1070</t>
  </si>
  <si>
    <t>60х1500х2030</t>
  </si>
  <si>
    <t>10х1500х3570</t>
  </si>
  <si>
    <t>10х1500х1790</t>
  </si>
  <si>
    <t>60х1500х630</t>
  </si>
  <si>
    <t>80х700-800х1710</t>
  </si>
  <si>
    <t>25х1200-1300х1950</t>
  </si>
  <si>
    <t>60х1000-1100х1870</t>
  </si>
  <si>
    <t>75х610</t>
  </si>
  <si>
    <t>16х1500х500</t>
  </si>
  <si>
    <t>8х1500х3990</t>
  </si>
  <si>
    <t>14х1500х3290</t>
  </si>
  <si>
    <t>100х1500х1990</t>
  </si>
  <si>
    <t>50х1000-1100х2700</t>
  </si>
  <si>
    <t>80х1500х3920</t>
  </si>
  <si>
    <t>100х1500х1800</t>
  </si>
  <si>
    <t>20х1500х1710</t>
  </si>
  <si>
    <t>6х1500х1940</t>
  </si>
  <si>
    <t>5х1500х3000</t>
  </si>
  <si>
    <t>10х1500х1455</t>
  </si>
  <si>
    <t>5х1500х4920</t>
  </si>
  <si>
    <t>40х1200-1300х360</t>
  </si>
  <si>
    <t>50х1000-1100х1490</t>
  </si>
  <si>
    <t>12х1500х1870</t>
  </si>
  <si>
    <t>14х1500х3865</t>
  </si>
  <si>
    <t>16х1500х570</t>
  </si>
  <si>
    <t>20х1500х2060</t>
  </si>
  <si>
    <t>30х1500х610</t>
  </si>
  <si>
    <t>25х1500х4730</t>
  </si>
  <si>
    <t>20х1500х270</t>
  </si>
  <si>
    <t>25х1500х190</t>
  </si>
  <si>
    <t>60х1500х1850</t>
  </si>
  <si>
    <t>40х1200-1300х3500-5000</t>
  </si>
  <si>
    <t>45х1200-1300х3500-5000</t>
  </si>
  <si>
    <t>55х1000-1100х3500-4000</t>
  </si>
  <si>
    <t>65х950-1050х2800-3100</t>
  </si>
  <si>
    <t>30х1500х945</t>
  </si>
  <si>
    <t>10х1500х1990</t>
  </si>
  <si>
    <t>12х1500х2500</t>
  </si>
  <si>
    <t>30х1500х2250</t>
  </si>
  <si>
    <t>40х1500х3020</t>
  </si>
  <si>
    <t>70х800-900х1420</t>
  </si>
  <si>
    <t>20х1500х1035</t>
  </si>
  <si>
    <t>30х1500х480</t>
  </si>
  <si>
    <t>36х1500х450</t>
  </si>
  <si>
    <t>40х1500х690</t>
  </si>
  <si>
    <t>20х1500х3340</t>
  </si>
  <si>
    <t>30х1500х1630</t>
  </si>
  <si>
    <t>70х505х970</t>
  </si>
  <si>
    <t>ТУ 14-132-208-2020, 19903-2015 М5г, НО, отжиг б/травл.</t>
  </si>
  <si>
    <t>20х1500х5000-6000</t>
  </si>
  <si>
    <t>5х1500х5190</t>
  </si>
  <si>
    <t>12х1500х4910</t>
  </si>
  <si>
    <t>25х1500х4715</t>
  </si>
  <si>
    <t>16х1500х1690</t>
  </si>
  <si>
    <t>16х1500х760</t>
  </si>
  <si>
    <t>30х1500х400</t>
  </si>
  <si>
    <t>Склад  на 17.03.2021г.</t>
  </si>
  <si>
    <t>10х1500х2950</t>
  </si>
  <si>
    <t>14х1500х5150</t>
  </si>
  <si>
    <t>5х1500х5490</t>
  </si>
  <si>
    <t>10х1500х3200</t>
  </si>
  <si>
    <t>100х700-800х630</t>
  </si>
  <si>
    <t>40х1200-1300х1090</t>
  </si>
  <si>
    <t>8х1500х1100</t>
  </si>
  <si>
    <t>10х1500х1735</t>
  </si>
  <si>
    <t>12х1500х1875-2375</t>
  </si>
  <si>
    <t>14х1500х5500</t>
  </si>
  <si>
    <t>16х1500х5360</t>
  </si>
  <si>
    <t>30х1500х2000-2500</t>
  </si>
  <si>
    <t>35х1300х4350</t>
  </si>
  <si>
    <t>40х1200-1300х1000-1500</t>
  </si>
  <si>
    <t>50х1000-1100х480</t>
  </si>
  <si>
    <t>50х1100х2500</t>
  </si>
  <si>
    <t>60х1000-1100х1300-1800</t>
  </si>
  <si>
    <t>20х1500х4925</t>
  </si>
  <si>
    <t>25х1500х3500-4500</t>
  </si>
  <si>
    <t>40х1200-1300х2115</t>
  </si>
  <si>
    <t>40х1200-1300х500-1000</t>
  </si>
  <si>
    <t>100х500х1100</t>
  </si>
  <si>
    <t>5х1500х3800-4800</t>
  </si>
  <si>
    <t>20х1500х3380-4380</t>
  </si>
  <si>
    <t>60х900-1000х775</t>
  </si>
  <si>
    <t>16х1500х890</t>
  </si>
  <si>
    <t>25х1500х1000</t>
  </si>
  <si>
    <t>30х1500х500</t>
  </si>
  <si>
    <t>30х1500х2480</t>
  </si>
  <si>
    <t>50х1500х1430</t>
  </si>
  <si>
    <t>10х2000х3800</t>
  </si>
  <si>
    <t>20х2000х1400</t>
  </si>
  <si>
    <t>120х1500х5695</t>
  </si>
  <si>
    <t>16х1500х2240</t>
  </si>
  <si>
    <t>45х1500х1510</t>
  </si>
  <si>
    <t>60х1500х270</t>
  </si>
  <si>
    <t>8х1500х995</t>
  </si>
  <si>
    <t>45х1500х3630</t>
  </si>
  <si>
    <t>70х1200х950</t>
  </si>
  <si>
    <t>80х1500х940</t>
  </si>
  <si>
    <t>80х490х870</t>
  </si>
  <si>
    <t>ООО « Промгруппа »</t>
  </si>
  <si>
    <t>454036, г. Челябинск, ул. Радонежская, 40А, оф. 3/11  тел./ф. (351) 735-59-91; 735-59-79, 214-59-79, 214-59-91</t>
  </si>
  <si>
    <t xml:space="preserve">          e-mail: promgroup05@mail.ru            сайт: www.promgroupchel.ru</t>
  </si>
  <si>
    <t>Холоднокатаный листовой металлопрокат</t>
  </si>
  <si>
    <t>Конструкционный горячекатаный листовой металлопрокат</t>
  </si>
  <si>
    <t>Инструментальный горячекатаный металлопрокат</t>
  </si>
  <si>
    <t>Нержавеющий металлопрокат</t>
  </si>
  <si>
    <t>Круги, полосы, поковки</t>
  </si>
  <si>
    <t>ГОСТ 19265-73, 1133-71</t>
  </si>
  <si>
    <t>ГОСТ 14955, 19265</t>
  </si>
  <si>
    <t>ГОСТ 2590, 535-2006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</si>
</sst>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d\ mmmm\,\ yyyy"/>
    <numFmt numFmtId="175" formatCode="#,##0.0000"/>
  </numFmts>
  <fonts count="2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22" fillId="0" borderId="0"/>
    <xf numFmtId="0" fontId="2" fillId="0" borderId="0"/>
    <xf numFmtId="0" fontId="21" fillId="0" borderId="0"/>
    <xf numFmtId="0" fontId="28" fillId="0" borderId="0"/>
    <xf numFmtId="0" fontId="2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1" fillId="0" borderId="0" applyFont="0" applyFill="0" applyBorder="0" applyAlignment="0" applyProtection="0"/>
    <xf numFmtId="0" fontId="16" fillId="0" borderId="9" applyNumberFormat="0" applyFill="0" applyAlignment="0" applyProtection="0"/>
    <xf numFmtId="0" fontId="20" fillId="0" borderId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51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15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15" borderId="10" xfId="25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18" borderId="10" xfId="25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" fontId="19" fillId="18" borderId="10" xfId="0" applyNumberFormat="1" applyFont="1" applyFill="1" applyBorder="1" applyAlignment="1">
      <alignment horizontal="center" vertical="center" wrapText="1"/>
    </xf>
    <xf numFmtId="175" fontId="19" fillId="0" borderId="10" xfId="25" applyNumberFormat="1" applyFont="1" applyFill="1" applyBorder="1" applyAlignment="1">
      <alignment horizontal="center" vertical="center" wrapText="1"/>
    </xf>
    <xf numFmtId="0" fontId="19" fillId="0" borderId="10" xfId="25" applyFont="1" applyFill="1" applyBorder="1" applyAlignment="1">
      <alignment horizontal="center" vertical="center" wrapText="1"/>
    </xf>
    <xf numFmtId="0" fontId="19" fillId="0" borderId="12" xfId="25" applyFont="1" applyFill="1" applyBorder="1" applyAlignment="1">
      <alignment horizontal="center" vertical="center" wrapText="1"/>
    </xf>
    <xf numFmtId="14" fontId="19" fillId="0" borderId="10" xfId="25" applyNumberFormat="1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/>
    </xf>
    <xf numFmtId="175" fontId="19" fillId="0" borderId="13" xfId="25" applyNumberFormat="1" applyFont="1" applyFill="1" applyBorder="1" applyAlignment="1">
      <alignment horizontal="center" vertical="center" wrapText="1"/>
    </xf>
    <xf numFmtId="175" fontId="19" fillId="18" borderId="13" xfId="25" applyNumberFormat="1" applyFont="1" applyFill="1" applyBorder="1" applyAlignment="1">
      <alignment horizontal="center" vertical="center" wrapText="1"/>
    </xf>
    <xf numFmtId="175" fontId="19" fillId="0" borderId="13" xfId="0" applyNumberFormat="1" applyFont="1" applyFill="1" applyBorder="1" applyAlignment="1">
      <alignment horizontal="center" vertical="center"/>
    </xf>
    <xf numFmtId="175" fontId="19" fillId="0" borderId="13" xfId="0" applyNumberFormat="1" applyFont="1" applyFill="1" applyBorder="1" applyAlignment="1">
      <alignment horizontal="center" vertical="center" wrapText="1"/>
    </xf>
    <xf numFmtId="175" fontId="19" fillId="18" borderId="13" xfId="0" applyNumberFormat="1" applyFont="1" applyFill="1" applyBorder="1" applyAlignment="1">
      <alignment horizontal="center" vertical="center"/>
    </xf>
    <xf numFmtId="175" fontId="19" fillId="18" borderId="13" xfId="0" applyNumberFormat="1" applyFont="1" applyFill="1" applyBorder="1" applyAlignment="1">
      <alignment horizontal="center" vertical="center" wrapText="1"/>
    </xf>
    <xf numFmtId="175" fontId="19" fillId="0" borderId="13" xfId="0" applyNumberFormat="1" applyFont="1" applyBorder="1" applyAlignment="1">
      <alignment horizontal="center" vertical="center" wrapText="1"/>
    </xf>
    <xf numFmtId="175" fontId="19" fillId="18" borderId="14" xfId="0" applyNumberFormat="1" applyFont="1" applyFill="1" applyBorder="1" applyAlignment="1">
      <alignment horizontal="center" vertical="center" wrapText="1"/>
    </xf>
    <xf numFmtId="175" fontId="19" fillId="0" borderId="15" xfId="25" applyNumberFormat="1" applyFont="1" applyFill="1" applyBorder="1" applyAlignment="1">
      <alignment horizontal="center" vertical="center" wrapText="1"/>
    </xf>
    <xf numFmtId="174" fontId="19" fillId="16" borderId="16" xfId="25" applyNumberFormat="1" applyFont="1" applyFill="1" applyBorder="1" applyAlignment="1">
      <alignment horizontal="center" vertical="center" wrapText="1"/>
    </xf>
    <xf numFmtId="175" fontId="19" fillId="16" borderId="17" xfId="25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5" fontId="27" fillId="0" borderId="0" xfId="0" applyNumberFormat="1" applyFont="1" applyAlignment="1">
      <alignment horizontal="center" vertical="center"/>
    </xf>
    <xf numFmtId="0" fontId="19" fillId="0" borderId="18" xfId="25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15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175" fontId="19" fillId="18" borderId="2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74" fontId="25" fillId="16" borderId="23" xfId="25" applyNumberFormat="1" applyFont="1" applyFill="1" applyBorder="1" applyAlignment="1">
      <alignment horizontal="center" vertical="center" wrapText="1"/>
    </xf>
    <xf numFmtId="0" fontId="26" fillId="0" borderId="16" xfId="0" applyFont="1" applyBorder="1"/>
    <xf numFmtId="0" fontId="19" fillId="17" borderId="24" xfId="25" applyFont="1" applyFill="1" applyBorder="1" applyAlignment="1">
      <alignment horizontal="center" vertical="center" wrapText="1"/>
    </xf>
    <xf numFmtId="0" fontId="24" fillId="0" borderId="25" xfId="0" applyFont="1" applyBorder="1"/>
    <xf numFmtId="0" fontId="19" fillId="17" borderId="26" xfId="25" applyFont="1" applyFill="1" applyBorder="1" applyAlignment="1">
      <alignment horizontal="center" vertical="center" wrapText="1"/>
    </xf>
    <xf numFmtId="0" fontId="24" fillId="0" borderId="21" xfId="0" applyFont="1" applyBorder="1"/>
    <xf numFmtId="0" fontId="19" fillId="17" borderId="21" xfId="25" applyFont="1" applyFill="1" applyBorder="1" applyAlignment="1">
      <alignment horizontal="center" vertical="center" wrapText="1"/>
    </xf>
    <xf numFmtId="175" fontId="19" fillId="17" borderId="27" xfId="25" applyNumberFormat="1" applyFont="1" applyFill="1" applyBorder="1" applyAlignment="1">
      <alignment horizontal="center" vertical="center" wrapText="1"/>
    </xf>
    <xf numFmtId="175" fontId="19" fillId="17" borderId="22" xfId="25" applyNumberFormat="1" applyFont="1" applyFill="1" applyBorder="1" applyAlignment="1">
      <alignment horizontal="center" vertical="center" wrapText="1"/>
    </xf>
  </cellXfs>
  <cellStyles count="34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2 2" xfId="20"/>
    <cellStyle name="Обычный 3" xfId="21"/>
    <cellStyle name="Обычный 3 2" xfId="22"/>
    <cellStyle name="Обычный 4" xfId="23"/>
    <cellStyle name="Обычный 5" xfId="24"/>
    <cellStyle name="Обычный_август" xfId="25"/>
    <cellStyle name="Плохой" xfId="26" builtinId="27" customBuiltin="1"/>
    <cellStyle name="Пояснение" xfId="27" builtinId="53" customBuiltin="1"/>
    <cellStyle name="Примечание" xfId="28" builtinId="10" customBuiltin="1"/>
    <cellStyle name="Процентный 2" xfId="29"/>
    <cellStyle name="Связанная ячейка" xfId="30" builtinId="24" customBuiltin="1"/>
    <cellStyle name="Стиль 1" xfId="31"/>
    <cellStyle name="Текст предупреждения" xfId="32" builtinId="11" customBuiltin="1"/>
    <cellStyle name="Хороший" xfId="3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7"/>
  <sheetViews>
    <sheetView tabSelected="1" workbookViewId="0">
      <pane ySplit="8" topLeftCell="A9" activePane="bottomLeft" state="frozen"/>
      <selection pane="bottomLeft" activeCell="C714" sqref="C714"/>
    </sheetView>
  </sheetViews>
  <sheetFormatPr defaultRowHeight="12.75" x14ac:dyDescent="0.2"/>
  <cols>
    <col min="1" max="1" width="35.7109375" customWidth="1"/>
    <col min="2" max="2" width="23.28515625" customWidth="1"/>
    <col min="3" max="3" width="39.140625" customWidth="1"/>
    <col min="4" max="4" width="24.42578125" customWidth="1"/>
    <col min="5" max="5" width="15.85546875" customWidth="1"/>
  </cols>
  <sheetData>
    <row r="1" spans="1:5" ht="15.75" x14ac:dyDescent="0.2">
      <c r="A1" s="31"/>
      <c r="B1" s="31"/>
      <c r="C1" s="31" t="s">
        <v>640</v>
      </c>
      <c r="D1" s="31"/>
      <c r="E1" s="32"/>
    </row>
    <row r="2" spans="1:5" ht="15.75" x14ac:dyDescent="0.2">
      <c r="A2" s="41" t="s">
        <v>641</v>
      </c>
      <c r="B2" s="41"/>
      <c r="C2" s="41"/>
      <c r="D2" s="41"/>
      <c r="E2" s="41"/>
    </row>
    <row r="3" spans="1:5" ht="15.75" x14ac:dyDescent="0.2">
      <c r="A3" s="31"/>
      <c r="B3" s="31"/>
      <c r="C3" s="31" t="s">
        <v>642</v>
      </c>
      <c r="D3" s="31"/>
      <c r="E3" s="32"/>
    </row>
    <row r="5" spans="1:5" ht="13.5" thickBot="1" x14ac:dyDescent="0.25"/>
    <row r="6" spans="1:5" ht="24" thickBot="1" x14ac:dyDescent="0.4">
      <c r="A6" s="42" t="s">
        <v>598</v>
      </c>
      <c r="B6" s="43"/>
      <c r="C6" s="43"/>
      <c r="D6" s="29"/>
      <c r="E6" s="30"/>
    </row>
    <row r="7" spans="1:5" x14ac:dyDescent="0.2">
      <c r="A7" s="44" t="s">
        <v>0</v>
      </c>
      <c r="B7" s="46" t="s">
        <v>1</v>
      </c>
      <c r="C7" s="46" t="s">
        <v>2</v>
      </c>
      <c r="D7" s="46" t="s">
        <v>3</v>
      </c>
      <c r="E7" s="49" t="s">
        <v>11</v>
      </c>
    </row>
    <row r="8" spans="1:5" ht="13.5" thickBot="1" x14ac:dyDescent="0.25">
      <c r="A8" s="45"/>
      <c r="B8" s="47"/>
      <c r="C8" s="47"/>
      <c r="D8" s="48"/>
      <c r="E8" s="50"/>
    </row>
    <row r="9" spans="1:5" ht="28.5" x14ac:dyDescent="0.2">
      <c r="A9" s="33" t="s">
        <v>643</v>
      </c>
      <c r="B9" s="6" t="s">
        <v>4</v>
      </c>
      <c r="C9" s="16" t="s">
        <v>222</v>
      </c>
      <c r="D9" s="16" t="s">
        <v>220</v>
      </c>
      <c r="E9" s="20">
        <f>0.58-0.288</f>
        <v>0.29199999999999998</v>
      </c>
    </row>
    <row r="10" spans="1:5" ht="28.5" x14ac:dyDescent="0.2">
      <c r="A10" s="33" t="s">
        <v>643</v>
      </c>
      <c r="B10" s="1" t="s">
        <v>16</v>
      </c>
      <c r="C10" s="16" t="s">
        <v>221</v>
      </c>
      <c r="D10" s="16" t="s">
        <v>245</v>
      </c>
      <c r="E10" s="20">
        <f>0.51-0.376</f>
        <v>0.13400000000000001</v>
      </c>
    </row>
    <row r="11" spans="1:5" ht="28.5" x14ac:dyDescent="0.2">
      <c r="A11" s="33" t="s">
        <v>643</v>
      </c>
      <c r="B11" s="1" t="s">
        <v>16</v>
      </c>
      <c r="C11" s="16" t="s">
        <v>221</v>
      </c>
      <c r="D11" s="16" t="s">
        <v>244</v>
      </c>
      <c r="E11" s="20">
        <f>0.58-0.392</f>
        <v>0.18799999999999994</v>
      </c>
    </row>
    <row r="12" spans="1:5" ht="28.5" x14ac:dyDescent="0.2">
      <c r="A12" s="33" t="s">
        <v>643</v>
      </c>
      <c r="B12" s="6" t="s">
        <v>4</v>
      </c>
      <c r="C12" s="6" t="s">
        <v>46</v>
      </c>
      <c r="D12" s="16" t="s">
        <v>201</v>
      </c>
      <c r="E12" s="20">
        <f>7.936-0.286-0.3-0.399-0.059-0.032-0.008-0.008-0.499-0.058-0.14-0.004-0.158-0.119-0.004-0.012-0.004-0.012-0.012-0.004-0.1-1-0.004-0.5-0.14-0.004-0.004-0.008-0.004-0.02-0.004-0.004-0.004-0.004-0.004-0.008-0.004-0.004-0.008-0.012-0.02-0.018-0.032-0.04-0.004-0.098-0.14-0.036-0.004-0.004-0.048-0.502-0.012-0.012-0.036-0.059-0.148-0.008-0.02-0.008-0.012-0.004-0.004-0.004-0.004-0.2-0.004-1-0.004-0.099-0.004-0.052-0.012-0.004-0.004-0.004-0.004-0.012-0.004-0.004-0.004-0.008-0.004-0.172-0.004-0.06-0.298-0.004-0.008-0.004</f>
        <v>0.72400000000000908</v>
      </c>
    </row>
    <row r="13" spans="1:5" ht="28.5" x14ac:dyDescent="0.2">
      <c r="A13" s="33" t="s">
        <v>643</v>
      </c>
      <c r="B13" s="6" t="s">
        <v>4</v>
      </c>
      <c r="C13" s="6" t="s">
        <v>46</v>
      </c>
      <c r="D13" s="16" t="s">
        <v>201</v>
      </c>
      <c r="E13" s="20">
        <f>7</f>
        <v>7</v>
      </c>
    </row>
    <row r="14" spans="1:5" ht="28.5" x14ac:dyDescent="0.2">
      <c r="A14" s="33" t="s">
        <v>643</v>
      </c>
      <c r="B14" s="6" t="s">
        <v>4</v>
      </c>
      <c r="C14" s="6" t="s">
        <v>222</v>
      </c>
      <c r="D14" s="16" t="s">
        <v>57</v>
      </c>
      <c r="E14" s="20">
        <f>4.764-0.174-0.005-0.02-0.01-0.005-0.01-0.005-0.005-0.005-0.499-0.02-0.05-0.01-0.3-0.005-0.005-0.015-0.005-0.049-0.2-0.005-0.005-0.005-0.201-0.01-0.02-0.005-0.299</f>
        <v>2.8170000000000033</v>
      </c>
    </row>
    <row r="15" spans="1:5" ht="28.5" x14ac:dyDescent="0.2">
      <c r="A15" s="33" t="s">
        <v>643</v>
      </c>
      <c r="B15" s="6" t="s">
        <v>4</v>
      </c>
      <c r="C15" s="6" t="s">
        <v>222</v>
      </c>
      <c r="D15" s="16" t="s">
        <v>57</v>
      </c>
      <c r="E15" s="20">
        <f>2.388</f>
        <v>2.3879999999999999</v>
      </c>
    </row>
    <row r="16" spans="1:5" ht="28.5" x14ac:dyDescent="0.2">
      <c r="A16" s="33" t="s">
        <v>643</v>
      </c>
      <c r="B16" s="6" t="s">
        <v>4</v>
      </c>
      <c r="C16" s="6" t="s">
        <v>46</v>
      </c>
      <c r="D16" s="16" t="s">
        <v>58</v>
      </c>
      <c r="E16" s="21">
        <f>0.651-0.434-0.217+0.03</f>
        <v>3.0000000000000027E-2</v>
      </c>
    </row>
    <row r="17" spans="1:5" ht="28.5" x14ac:dyDescent="0.2">
      <c r="A17" s="33" t="s">
        <v>643</v>
      </c>
      <c r="B17" s="6" t="s">
        <v>4</v>
      </c>
      <c r="C17" s="6" t="s">
        <v>101</v>
      </c>
      <c r="D17" s="16" t="s">
        <v>58</v>
      </c>
      <c r="E17" s="20">
        <f>7.252-0.964-0.012-0.006-0.197-0.006-0.006-0.828-0.021-0.03-0.502-0.036-0.006-0.199-0.103-0.006-0.012-1.39-0.006-0.024-0.006-0.036-0.006-0.012-0.5-0.181-0.012-0.006-0.03-0.006-0.018-0.103-0.024-0.006-0.05-0.006-0.093-0.104-0.03-0.729-0.036-0.382-0.006-0.006-0.093-0.104-0.012-0.082-0.071-0.018-0.018-0.006</f>
        <v>0.10600000000000202</v>
      </c>
    </row>
    <row r="18" spans="1:5" ht="28.5" x14ac:dyDescent="0.2">
      <c r="A18" s="33" t="s">
        <v>643</v>
      </c>
      <c r="B18" s="6" t="s">
        <v>4</v>
      </c>
      <c r="C18" s="6" t="s">
        <v>513</v>
      </c>
      <c r="D18" s="16" t="s">
        <v>58</v>
      </c>
      <c r="E18" s="20">
        <f>9.548-1.704</f>
        <v>7.8440000000000003</v>
      </c>
    </row>
    <row r="19" spans="1:5" ht="28.5" x14ac:dyDescent="0.2">
      <c r="A19" s="33" t="s">
        <v>643</v>
      </c>
      <c r="B19" s="6" t="s">
        <v>4</v>
      </c>
      <c r="C19" s="6" t="s">
        <v>101</v>
      </c>
      <c r="D19" s="16" t="s">
        <v>65</v>
      </c>
      <c r="E19" s="21">
        <f>10.008-5.002-0.398-0.24-0.103-0.021-0.007-0.007-0.021</f>
        <v>4.2090000000000005</v>
      </c>
    </row>
    <row r="20" spans="1:5" ht="28.5" x14ac:dyDescent="0.2">
      <c r="A20" s="33" t="s">
        <v>643</v>
      </c>
      <c r="B20" s="6" t="s">
        <v>4</v>
      </c>
      <c r="C20" s="16" t="s">
        <v>340</v>
      </c>
      <c r="D20" s="16" t="s">
        <v>216</v>
      </c>
      <c r="E20" s="20">
        <f>4.58-0.05-0.048-0.075-0.025-0.142-0.075-0.025-0.05-0.025-0.05-0.05-0.025-0.508-0.05-0.264-0.025-0.025-0.024-0.196-0.502-0.049-0.025-0.143-0.025-0.025-0.165-0.025-0.025-0.025-0.025-0.049-1.026-0.025-0.05-0.025-0.145-0.025-0.025-0.118-0.025-0.143-0.025-0.096-0.025</f>
        <v>1.1999999999999948E-2</v>
      </c>
    </row>
    <row r="21" spans="1:5" ht="28.5" x14ac:dyDescent="0.2">
      <c r="A21" s="33" t="s">
        <v>643</v>
      </c>
      <c r="B21" s="6" t="s">
        <v>4</v>
      </c>
      <c r="C21" s="6" t="s">
        <v>101</v>
      </c>
      <c r="D21" s="16" t="s">
        <v>43</v>
      </c>
      <c r="E21" s="20">
        <f>21.038-2.37-0.055-3.7-0.893-0.044-0.054-0.022-2.626-0.011-0.198-1.25-0.095-0.499-0.209-0.238-2.652-0.302-0.055-0.033-2.455-0.958-0.998-0.43-0.011-0.746</f>
        <v>0.13399999999999912</v>
      </c>
    </row>
    <row r="22" spans="1:5" ht="28.5" x14ac:dyDescent="0.2">
      <c r="A22" s="33" t="s">
        <v>643</v>
      </c>
      <c r="B22" s="6" t="s">
        <v>4</v>
      </c>
      <c r="C22" s="6" t="s">
        <v>101</v>
      </c>
      <c r="D22" s="16" t="s">
        <v>43</v>
      </c>
      <c r="E22" s="21">
        <f>19.096-0.34-0.011-3.7-0.011-0.063-1.85-0.996-3.7-0.022-0.022-0.063-0.053-0.011-2.699-0.022-0.011-0.496-0.3-2.735-0.011</f>
        <v>1.9800000000000002</v>
      </c>
    </row>
    <row r="23" spans="1:5" ht="28.5" x14ac:dyDescent="0.2">
      <c r="A23" s="33" t="s">
        <v>643</v>
      </c>
      <c r="B23" s="6" t="s">
        <v>4</v>
      </c>
      <c r="C23" s="16" t="s">
        <v>341</v>
      </c>
      <c r="D23" s="16" t="s">
        <v>82</v>
      </c>
      <c r="E23" s="20">
        <f>4.71-0.142-0.398-0.037-0.037-0.037-0.362-0.037-0.037-0.037-0.506-0.322-0.616-0.037-0.037-0.504-0.037-0.037-0.111-0.19-0.11-0.111-0.037-0.037-0.109-0.037-0.037-0.296</f>
        <v>0.41500000000000009</v>
      </c>
    </row>
    <row r="24" spans="1:5" ht="28.5" x14ac:dyDescent="0.2">
      <c r="A24" s="33" t="s">
        <v>643</v>
      </c>
      <c r="B24" s="6" t="s">
        <v>4</v>
      </c>
      <c r="C24" s="6" t="s">
        <v>101</v>
      </c>
      <c r="D24" s="16" t="s">
        <v>86</v>
      </c>
      <c r="E24" s="20">
        <f>2.048-0.253-0.099-0.036-0.056-0.048-0.059-0.012-0.048-0.024-0.036-0.012-0.012-0.012</f>
        <v>1.3409999999999997</v>
      </c>
    </row>
    <row r="25" spans="1:5" ht="28.5" x14ac:dyDescent="0.2">
      <c r="A25" s="33" t="s">
        <v>643</v>
      </c>
      <c r="B25" s="6" t="s">
        <v>4</v>
      </c>
      <c r="C25" s="6" t="s">
        <v>101</v>
      </c>
      <c r="D25" s="16" t="s">
        <v>86</v>
      </c>
      <c r="E25" s="20">
        <f>2.874</f>
        <v>2.8740000000000001</v>
      </c>
    </row>
    <row r="26" spans="1:5" ht="28.5" x14ac:dyDescent="0.2">
      <c r="A26" s="33" t="s">
        <v>643</v>
      </c>
      <c r="B26" s="6" t="s">
        <v>4</v>
      </c>
      <c r="C26" s="6" t="s">
        <v>101</v>
      </c>
      <c r="D26" s="16" t="s">
        <v>67</v>
      </c>
      <c r="E26" s="20">
        <f>0.962-0.147-0.024</f>
        <v>0.79099999999999993</v>
      </c>
    </row>
    <row r="27" spans="1:5" ht="28.5" x14ac:dyDescent="0.2">
      <c r="A27" s="33" t="s">
        <v>643</v>
      </c>
      <c r="B27" s="6" t="s">
        <v>4</v>
      </c>
      <c r="C27" s="6" t="s">
        <v>46</v>
      </c>
      <c r="D27" s="16" t="s">
        <v>68</v>
      </c>
      <c r="E27" s="20">
        <f>0.99-0.013-0.297-0.013-0.05-0.013</f>
        <v>0.60399999999999987</v>
      </c>
    </row>
    <row r="28" spans="1:5" ht="28.5" x14ac:dyDescent="0.2">
      <c r="A28" s="33" t="s">
        <v>643</v>
      </c>
      <c r="B28" s="6" t="s">
        <v>4</v>
      </c>
      <c r="C28" s="6" t="s">
        <v>101</v>
      </c>
      <c r="D28" s="9" t="s">
        <v>44</v>
      </c>
      <c r="E28" s="22">
        <f>10.474-0.18-0.112-0.152-0.028-0.014-0.028-0.995-0.138-0.344-0.097-0.506-5.005-0.084-0.042-0.22-0.098-0.028-0.07-0.014-0.07-0.509-0.028-0.112-0.014-0.084-0.208-0.028-0.5-0.042-0.11-0.111-0.028-0.014-0.11-0.014-0.014-0.111-0.11</f>
        <v>0.10200000000000307</v>
      </c>
    </row>
    <row r="29" spans="1:5" ht="28.5" x14ac:dyDescent="0.2">
      <c r="A29" s="33" t="s">
        <v>643</v>
      </c>
      <c r="B29" s="6" t="s">
        <v>4</v>
      </c>
      <c r="C29" s="6" t="s">
        <v>101</v>
      </c>
      <c r="D29" s="9" t="s">
        <v>44</v>
      </c>
      <c r="E29" s="22">
        <f>8.342-0.193-0.082-0.305-0.11-0.014-1.52-1.008-0.07-0.014-0.14-0.605-0.014-1.01-0.014-0.139-0.028-0.412-1.003-0.014-1.498</f>
        <v>0.14900000000000113</v>
      </c>
    </row>
    <row r="30" spans="1:5" ht="28.5" x14ac:dyDescent="0.2">
      <c r="A30" s="33" t="s">
        <v>643</v>
      </c>
      <c r="B30" s="6" t="s">
        <v>4</v>
      </c>
      <c r="C30" s="6" t="s">
        <v>101</v>
      </c>
      <c r="D30" s="9" t="s">
        <v>44</v>
      </c>
      <c r="E30" s="24">
        <f>1.01</f>
        <v>1.01</v>
      </c>
    </row>
    <row r="31" spans="1:5" ht="28.5" x14ac:dyDescent="0.2">
      <c r="A31" s="33" t="s">
        <v>643</v>
      </c>
      <c r="B31" s="1" t="s">
        <v>4</v>
      </c>
      <c r="C31" s="6" t="s">
        <v>101</v>
      </c>
      <c r="D31" s="9" t="s">
        <v>93</v>
      </c>
      <c r="E31" s="23">
        <f>5.48-0.104-0.122-0.018-1.005-0.018-0.5</f>
        <v>3.713000000000001</v>
      </c>
    </row>
    <row r="32" spans="1:5" ht="28.5" x14ac:dyDescent="0.2">
      <c r="A32" s="33" t="s">
        <v>643</v>
      </c>
      <c r="B32" s="1" t="s">
        <v>4</v>
      </c>
      <c r="C32" s="6" t="s">
        <v>101</v>
      </c>
      <c r="D32" s="9" t="s">
        <v>93</v>
      </c>
      <c r="E32" s="23">
        <f>5.22</f>
        <v>5.22</v>
      </c>
    </row>
    <row r="33" spans="1:5" ht="28.5" x14ac:dyDescent="0.2">
      <c r="A33" s="33" t="s">
        <v>643</v>
      </c>
      <c r="B33" s="6" t="s">
        <v>4</v>
      </c>
      <c r="C33" s="10" t="s">
        <v>42</v>
      </c>
      <c r="D33" s="9" t="s">
        <v>47</v>
      </c>
      <c r="E33" s="22">
        <f>0.664-0.132-0.022-0.3</f>
        <v>0.21000000000000002</v>
      </c>
    </row>
    <row r="34" spans="1:5" ht="28.5" x14ac:dyDescent="0.2">
      <c r="A34" s="33" t="s">
        <v>643</v>
      </c>
      <c r="B34" s="6" t="s">
        <v>4</v>
      </c>
      <c r="C34" s="10" t="s">
        <v>42</v>
      </c>
      <c r="D34" s="9" t="s">
        <v>50</v>
      </c>
      <c r="E34" s="22">
        <f>0.407-0.033-0.011-0.044-0.011-0.011-0.011-0.022-0.011-0.011-0.011-0.021-0.011-0.011-0.011+0.027</f>
        <v>0.2039999999999999</v>
      </c>
    </row>
    <row r="35" spans="1:5" ht="28.5" x14ac:dyDescent="0.2">
      <c r="A35" s="33" t="s">
        <v>643</v>
      </c>
      <c r="B35" s="6" t="s">
        <v>4</v>
      </c>
      <c r="C35" s="6" t="s">
        <v>101</v>
      </c>
      <c r="D35" s="9" t="s">
        <v>47</v>
      </c>
      <c r="E35" s="22">
        <f>7.854-0.081-0.71-0.065-0.022-0.501-0.128-0.21-0.042-0.022-0.21-0.105-1.206-0.022-0.106-0.022-0.314-0.044-0.21-0.022-0.022-0.293-0.998-0.209-0.208-0.105-0.416-0.5-0.309-0.29-0.022-0.168-0.044-0.022-0.103-0.061</f>
        <v>4.1999999999997831E-2</v>
      </c>
    </row>
    <row r="36" spans="1:5" ht="28.5" x14ac:dyDescent="0.2">
      <c r="A36" s="33" t="s">
        <v>643</v>
      </c>
      <c r="B36" s="1" t="s">
        <v>23</v>
      </c>
      <c r="C36" s="6" t="s">
        <v>222</v>
      </c>
      <c r="D36" s="7" t="s">
        <v>321</v>
      </c>
      <c r="E36" s="25">
        <f>0.5-0.052-0.02-0.05-0.004-0.002-0.002-0.05-0.002</f>
        <v>0.318</v>
      </c>
    </row>
    <row r="37" spans="1:5" ht="28.5" x14ac:dyDescent="0.2">
      <c r="A37" s="33" t="s">
        <v>643</v>
      </c>
      <c r="B37" s="1" t="s">
        <v>23</v>
      </c>
      <c r="C37" s="6" t="s">
        <v>367</v>
      </c>
      <c r="D37" s="7" t="s">
        <v>365</v>
      </c>
      <c r="E37" s="25">
        <f>0.89-0.151-0.05-0.0125</f>
        <v>0.67649999999999999</v>
      </c>
    </row>
    <row r="38" spans="1:5" ht="28.5" x14ac:dyDescent="0.2">
      <c r="A38" s="33" t="s">
        <v>643</v>
      </c>
      <c r="B38" s="1" t="s">
        <v>23</v>
      </c>
      <c r="C38" s="6" t="s">
        <v>367</v>
      </c>
      <c r="D38" s="7" t="s">
        <v>366</v>
      </c>
      <c r="E38" s="25">
        <f>1.19-0.1-0.0052-0.0026-0.0026-0.299</f>
        <v>0.78059999999999996</v>
      </c>
    </row>
    <row r="39" spans="1:5" ht="28.5" x14ac:dyDescent="0.2">
      <c r="A39" s="33" t="s">
        <v>643</v>
      </c>
      <c r="B39" s="1" t="s">
        <v>23</v>
      </c>
      <c r="C39" s="6" t="s">
        <v>367</v>
      </c>
      <c r="D39" s="7" t="s">
        <v>368</v>
      </c>
      <c r="E39" s="25">
        <f>0.89-0.02-0.1-0.0036-0.015-0.0036</f>
        <v>0.74779999999999991</v>
      </c>
    </row>
    <row r="40" spans="1:5" ht="28.5" x14ac:dyDescent="0.2">
      <c r="A40" s="33" t="s">
        <v>643</v>
      </c>
      <c r="B40" s="1" t="s">
        <v>23</v>
      </c>
      <c r="C40" s="6" t="s">
        <v>222</v>
      </c>
      <c r="D40" s="7" t="s">
        <v>322</v>
      </c>
      <c r="E40" s="25">
        <f>0.23-0.1-0.05-0.003-0.003-0.003-0.015-0.009</f>
        <v>4.6999999999999993E-2</v>
      </c>
    </row>
    <row r="41" spans="1:5" ht="28.5" x14ac:dyDescent="0.2">
      <c r="A41" s="33" t="s">
        <v>643</v>
      </c>
      <c r="B41" s="1" t="s">
        <v>23</v>
      </c>
      <c r="C41" s="6" t="s">
        <v>367</v>
      </c>
      <c r="D41" s="7" t="s">
        <v>369</v>
      </c>
      <c r="E41" s="25">
        <f>1.46-0.1-0.012-0.016-0.004-0.004-0.299</f>
        <v>1.0249999999999999</v>
      </c>
    </row>
    <row r="42" spans="1:5" ht="28.5" x14ac:dyDescent="0.2">
      <c r="A42" s="33" t="s">
        <v>643</v>
      </c>
      <c r="B42" s="1" t="s">
        <v>23</v>
      </c>
      <c r="C42" s="6" t="s">
        <v>367</v>
      </c>
      <c r="D42" s="7" t="s">
        <v>370</v>
      </c>
      <c r="E42" s="25">
        <f>2.9-0.099-0.152-0.015-0.005-0.015-0.01-0.005-0.005-0.005-0.01-0.025-0.02-0.005-0.1-0.501</f>
        <v>1.9280000000000004</v>
      </c>
    </row>
    <row r="43" spans="1:5" ht="28.5" x14ac:dyDescent="0.2">
      <c r="A43" s="33" t="s">
        <v>643</v>
      </c>
      <c r="B43" s="1" t="s">
        <v>23</v>
      </c>
      <c r="C43" s="6" t="s">
        <v>367</v>
      </c>
      <c r="D43" s="7" t="s">
        <v>371</v>
      </c>
      <c r="E43" s="25">
        <f>0.91-0.098-0.024-0.006-0.006-0.012-0.098-0.03-0.012-0.018-0.201</f>
        <v>0.40499999999999997</v>
      </c>
    </row>
    <row r="44" spans="1:5" ht="28.5" x14ac:dyDescent="0.2">
      <c r="A44" s="33" t="s">
        <v>643</v>
      </c>
      <c r="B44" s="1" t="s">
        <v>23</v>
      </c>
      <c r="C44" s="6" t="s">
        <v>222</v>
      </c>
      <c r="D44" s="7" t="s">
        <v>323</v>
      </c>
      <c r="E44" s="25">
        <f>0.94-0.5-0.06-0.025-0.02-0.02-0.006-0.005-0.09-0.05-0.084</f>
        <v>7.9999999999999863E-2</v>
      </c>
    </row>
    <row r="45" spans="1:5" ht="28.5" x14ac:dyDescent="0.2">
      <c r="A45" s="33" t="s">
        <v>643</v>
      </c>
      <c r="B45" s="1" t="s">
        <v>23</v>
      </c>
      <c r="C45" s="6" t="s">
        <v>367</v>
      </c>
      <c r="D45" s="7" t="s">
        <v>372</v>
      </c>
      <c r="E45" s="25">
        <f>3.69-0.151-0.008-0.024-0.008-0.008-0.008-0.04-0.08</f>
        <v>3.363</v>
      </c>
    </row>
    <row r="46" spans="1:5" ht="28.5" x14ac:dyDescent="0.2">
      <c r="A46" s="33" t="s">
        <v>643</v>
      </c>
      <c r="B46" s="1" t="s">
        <v>23</v>
      </c>
      <c r="C46" s="6" t="s">
        <v>367</v>
      </c>
      <c r="D46" s="7" t="s">
        <v>373</v>
      </c>
      <c r="E46" s="25">
        <f>1.82-0.02-0.049-0.145-0.02-0.01-0.01-0.02-0.02-0.02-0.494</f>
        <v>1.012</v>
      </c>
    </row>
    <row r="47" spans="1:5" ht="28.5" x14ac:dyDescent="0.2">
      <c r="A47" s="33" t="s">
        <v>643</v>
      </c>
      <c r="B47" s="12" t="s">
        <v>6</v>
      </c>
      <c r="C47" s="10" t="s">
        <v>36</v>
      </c>
      <c r="D47" s="16" t="s">
        <v>37</v>
      </c>
      <c r="E47" s="20">
        <f>2.13-0.006-0.335-0.038-0.012-0.006-0.006-0.009-0.009-0.006-0.003-0.052-0.253-0.011-0.3-0.033</f>
        <v>1.0510000000000006</v>
      </c>
    </row>
    <row r="48" spans="1:5" ht="28.5" x14ac:dyDescent="0.2">
      <c r="A48" s="33" t="s">
        <v>643</v>
      </c>
      <c r="B48" s="12" t="s">
        <v>6</v>
      </c>
      <c r="C48" s="10" t="s">
        <v>36</v>
      </c>
      <c r="D48" s="16" t="s">
        <v>83</v>
      </c>
      <c r="E48" s="20">
        <f>1.53-0.498-0.0035-0.0105-0.007-0.007-0.0035-0.023+0.0055-0.004-0.0105-0.0035-0.0035</f>
        <v>0.96150000000000024</v>
      </c>
    </row>
    <row r="49" spans="1:5" ht="28.5" x14ac:dyDescent="0.2">
      <c r="A49" s="33" t="s">
        <v>643</v>
      </c>
      <c r="B49" s="12" t="s">
        <v>6</v>
      </c>
      <c r="C49" s="10" t="s">
        <v>36</v>
      </c>
      <c r="D49" s="16" t="s">
        <v>41</v>
      </c>
      <c r="E49" s="20">
        <f>2-1.33-0.012-0.008+0.012-0.101-0.252</f>
        <v>0.30899999999999994</v>
      </c>
    </row>
    <row r="50" spans="1:5" ht="28.5" x14ac:dyDescent="0.2">
      <c r="A50" s="33" t="s">
        <v>643</v>
      </c>
      <c r="B50" s="12" t="s">
        <v>6</v>
      </c>
      <c r="C50" s="10" t="s">
        <v>36</v>
      </c>
      <c r="D50" s="16" t="s">
        <v>41</v>
      </c>
      <c r="E50" s="20">
        <f>1.43-0.469</f>
        <v>0.96099999999999997</v>
      </c>
    </row>
    <row r="51" spans="1:5" ht="28.5" x14ac:dyDescent="0.2">
      <c r="A51" s="33" t="s">
        <v>643</v>
      </c>
      <c r="B51" s="12" t="s">
        <v>6</v>
      </c>
      <c r="C51" s="10" t="s">
        <v>36</v>
      </c>
      <c r="D51" s="16" t="s">
        <v>62</v>
      </c>
      <c r="E51" s="20">
        <f>1.935-0.0045-0.384-0.0045-0.053-0.0135-0.0045-0.018-0.009-0.048-0.048-0.101-0.053-0.049-0.3-0.098</f>
        <v>0.74700000000000022</v>
      </c>
    </row>
    <row r="52" spans="1:5" ht="28.5" x14ac:dyDescent="0.2">
      <c r="A52" s="33" t="s">
        <v>643</v>
      </c>
      <c r="B52" s="12" t="s">
        <v>6</v>
      </c>
      <c r="C52" s="10" t="s">
        <v>36</v>
      </c>
      <c r="D52" s="16" t="s">
        <v>434</v>
      </c>
      <c r="E52" s="20">
        <f>1.53-1</f>
        <v>0.53</v>
      </c>
    </row>
    <row r="53" spans="1:5" ht="28.5" x14ac:dyDescent="0.2">
      <c r="A53" s="33" t="s">
        <v>643</v>
      </c>
      <c r="B53" s="12" t="s">
        <v>6</v>
      </c>
      <c r="C53" s="12" t="s">
        <v>117</v>
      </c>
      <c r="D53" s="8" t="s">
        <v>33</v>
      </c>
      <c r="E53" s="23">
        <f>18.04-0.019-0.15-0.019-0.1-0.298-0.038-0.019-0.019-0.035-0.05-0.795-0.038-0.057-0.983-0.499-0.314-0.022-0.113-0.038-0.996-1.014-0.019-0.294-0.497-0.037-0.019-0.236-0.495-0.019-0.019-0.019-0.293-0.038-0.188-0.019-0.019-0.019-0.498-0.055-0.146-0.146-0.04-0.201-0.038-0.057-0.497-0.019-0.019-0.038-0.092-0.057-0.996-0.498-0.093-0.019-0.9-0.019-0.019-0.037-0.107-0.019-0.493</f>
        <v>5.0909999999999984</v>
      </c>
    </row>
    <row r="54" spans="1:5" ht="28.5" x14ac:dyDescent="0.2">
      <c r="A54" s="33" t="s">
        <v>643</v>
      </c>
      <c r="B54" s="12" t="s">
        <v>6</v>
      </c>
      <c r="C54" s="12" t="s">
        <v>117</v>
      </c>
      <c r="D54" s="8" t="s">
        <v>33</v>
      </c>
      <c r="E54" s="23">
        <f>2.89-1.49-0.055-0.993-0.056-0.055</f>
        <v>0.24100000000000021</v>
      </c>
    </row>
    <row r="55" spans="1:5" ht="28.5" x14ac:dyDescent="0.2">
      <c r="A55" s="33" t="s">
        <v>643</v>
      </c>
      <c r="B55" s="12" t="s">
        <v>6</v>
      </c>
      <c r="C55" s="12" t="s">
        <v>250</v>
      </c>
      <c r="D55" s="8" t="s">
        <v>32</v>
      </c>
      <c r="E55" s="23">
        <f>18.04-12.95-0.091</f>
        <v>4.9989999999999997</v>
      </c>
    </row>
    <row r="56" spans="1:5" ht="28.5" x14ac:dyDescent="0.2">
      <c r="A56" s="33" t="s">
        <v>643</v>
      </c>
      <c r="B56" s="12" t="s">
        <v>6</v>
      </c>
      <c r="C56" s="12" t="s">
        <v>96</v>
      </c>
      <c r="D56" s="8" t="s">
        <v>31</v>
      </c>
      <c r="E56" s="23">
        <f>10.92-0.143-0.03-8.22-1.882-0.28-0.03-0.058-0.029-0.198</f>
        <v>4.9999999999999295E-2</v>
      </c>
    </row>
    <row r="57" spans="1:5" ht="28.5" x14ac:dyDescent="0.2">
      <c r="A57" s="33" t="s">
        <v>643</v>
      </c>
      <c r="B57" s="12" t="s">
        <v>6</v>
      </c>
      <c r="C57" s="12" t="s">
        <v>96</v>
      </c>
      <c r="D57" s="8" t="s">
        <v>31</v>
      </c>
      <c r="E57" s="23">
        <f>18.34-0.6-0.284-0.172-0.057-4.98-0.085-0.436-1-1.51-0.03-0.03-0.143-0.23-0.03-0.03-0.313-0.314-0.143-0.084-4.994-1.995-0.144-0.03-0.227-0.029-0.03-0.03-0.199-0.114-0.03</f>
        <v>4.7000000000000666E-2</v>
      </c>
    </row>
    <row r="58" spans="1:5" ht="28.5" x14ac:dyDescent="0.2">
      <c r="A58" s="33" t="s">
        <v>643</v>
      </c>
      <c r="B58" s="12" t="s">
        <v>6</v>
      </c>
      <c r="C58" s="12" t="s">
        <v>96</v>
      </c>
      <c r="D58" s="8" t="s">
        <v>31</v>
      </c>
      <c r="E58" s="23">
        <f>16.89-6.305-0.222-0.802-0.281</f>
        <v>9.2800000000000011</v>
      </c>
    </row>
    <row r="59" spans="1:5" ht="28.5" x14ac:dyDescent="0.2">
      <c r="A59" s="33" t="s">
        <v>643</v>
      </c>
      <c r="B59" s="12" t="s">
        <v>6</v>
      </c>
      <c r="C59" s="12" t="s">
        <v>250</v>
      </c>
      <c r="D59" s="8" t="s">
        <v>400</v>
      </c>
      <c r="E59" s="25">
        <f>0.076-0.014-0.03</f>
        <v>3.2000000000000001E-2</v>
      </c>
    </row>
    <row r="60" spans="1:5" ht="28.5" x14ac:dyDescent="0.2">
      <c r="A60" s="33" t="s">
        <v>643</v>
      </c>
      <c r="B60" s="12" t="s">
        <v>6</v>
      </c>
      <c r="C60" s="12" t="s">
        <v>53</v>
      </c>
      <c r="D60" s="8" t="s">
        <v>35</v>
      </c>
      <c r="E60" s="23">
        <f>10.37-0.508</f>
        <v>9.8619999999999983</v>
      </c>
    </row>
    <row r="61" spans="1:5" ht="28.5" x14ac:dyDescent="0.2">
      <c r="A61" s="33" t="s">
        <v>643</v>
      </c>
      <c r="B61" s="12" t="s">
        <v>6</v>
      </c>
      <c r="C61" s="12" t="s">
        <v>53</v>
      </c>
      <c r="D61" s="8" t="s">
        <v>35</v>
      </c>
      <c r="E61" s="23">
        <f>10.51-0.413-0.184-1.016-0.047-0.502-0.504-1.474-0.093-0.138-0.093-0.461-0.048-0.092-0.092-0.142-0.915-0.048-1.242-1.008-0.818</f>
        <v>1.1799999999999993</v>
      </c>
    </row>
    <row r="62" spans="1:5" ht="28.5" x14ac:dyDescent="0.2">
      <c r="A62" s="33" t="s">
        <v>643</v>
      </c>
      <c r="B62" s="12" t="s">
        <v>6</v>
      </c>
      <c r="C62" s="12" t="s">
        <v>53</v>
      </c>
      <c r="D62" s="8" t="s">
        <v>35</v>
      </c>
      <c r="E62" s="23">
        <f>0.507</f>
        <v>0.50700000000000001</v>
      </c>
    </row>
    <row r="63" spans="1:5" ht="28.5" x14ac:dyDescent="0.2">
      <c r="A63" s="33" t="s">
        <v>643</v>
      </c>
      <c r="B63" s="12" t="s">
        <v>6</v>
      </c>
      <c r="C63" s="12" t="s">
        <v>53</v>
      </c>
      <c r="D63" s="8" t="s">
        <v>10</v>
      </c>
      <c r="E63" s="23">
        <v>2.4E-2</v>
      </c>
    </row>
    <row r="64" spans="1:5" ht="28.5" x14ac:dyDescent="0.2">
      <c r="A64" s="33" t="s">
        <v>643</v>
      </c>
      <c r="B64" s="12" t="s">
        <v>6</v>
      </c>
      <c r="C64" s="12" t="s">
        <v>53</v>
      </c>
      <c r="D64" s="8" t="s">
        <v>214</v>
      </c>
      <c r="E64" s="23">
        <v>1.6E-2</v>
      </c>
    </row>
    <row r="65" spans="1:5" ht="28.5" x14ac:dyDescent="0.2">
      <c r="A65" s="33" t="s">
        <v>643</v>
      </c>
      <c r="B65" s="12" t="s">
        <v>6</v>
      </c>
      <c r="C65" s="12" t="s">
        <v>96</v>
      </c>
      <c r="D65" s="8" t="s">
        <v>418</v>
      </c>
      <c r="E65" s="23">
        <f>18.99-0.225-1.525-0.281-1.01-0.113-0.113-0.499-0.395</f>
        <v>14.829000000000001</v>
      </c>
    </row>
    <row r="66" spans="1:5" ht="28.5" x14ac:dyDescent="0.2">
      <c r="A66" s="33" t="s">
        <v>643</v>
      </c>
      <c r="B66" s="12" t="s">
        <v>6</v>
      </c>
      <c r="C66" s="12" t="s">
        <v>51</v>
      </c>
      <c r="D66" s="8" t="s">
        <v>48</v>
      </c>
      <c r="E66" s="23">
        <f>2.966-0.11-0.055-0.055-0.113-0.055-0.054-0.055-0.055-0.055-0.111-0.055-0.333-0.164</f>
        <v>1.6959999999999993</v>
      </c>
    </row>
    <row r="67" spans="1:5" ht="28.5" x14ac:dyDescent="0.2">
      <c r="A67" s="33" t="s">
        <v>643</v>
      </c>
      <c r="B67" s="12" t="s">
        <v>6</v>
      </c>
      <c r="C67" s="12" t="s">
        <v>295</v>
      </c>
      <c r="D67" s="8" t="s">
        <v>294</v>
      </c>
      <c r="E67" s="25">
        <f>2.13-0.08</f>
        <v>2.0499999999999998</v>
      </c>
    </row>
    <row r="68" spans="1:5" ht="28.5" x14ac:dyDescent="0.2">
      <c r="A68" s="33" t="s">
        <v>643</v>
      </c>
      <c r="B68" s="1" t="s">
        <v>71</v>
      </c>
      <c r="C68" s="12" t="s">
        <v>161</v>
      </c>
      <c r="D68" s="5" t="s">
        <v>72</v>
      </c>
      <c r="E68" s="24">
        <f>0.278</f>
        <v>0.27800000000000002</v>
      </c>
    </row>
    <row r="69" spans="1:5" ht="28.5" x14ac:dyDescent="0.2">
      <c r="A69" s="33" t="s">
        <v>643</v>
      </c>
      <c r="B69" s="1" t="s">
        <v>24</v>
      </c>
      <c r="C69" s="1" t="s">
        <v>45</v>
      </c>
      <c r="D69" s="5" t="s">
        <v>60</v>
      </c>
      <c r="E69" s="23">
        <f>1.206-0.013-0.026-0.013-0.013-0.062-0.123-0.037-0.026-0.026-0.013</f>
        <v>0.85400000000000009</v>
      </c>
    </row>
    <row r="70" spans="1:5" ht="28.5" x14ac:dyDescent="0.2">
      <c r="A70" s="33" t="s">
        <v>643</v>
      </c>
      <c r="B70" s="1" t="s">
        <v>24</v>
      </c>
      <c r="C70" s="1" t="s">
        <v>45</v>
      </c>
      <c r="D70" s="5" t="s">
        <v>60</v>
      </c>
      <c r="E70" s="23">
        <f>5.48-0.306-0.102-0.038-0.05</f>
        <v>4.984</v>
      </c>
    </row>
    <row r="71" spans="1:5" ht="28.5" x14ac:dyDescent="0.2">
      <c r="A71" s="33" t="s">
        <v>643</v>
      </c>
      <c r="B71" s="1" t="s">
        <v>24</v>
      </c>
      <c r="C71" s="1" t="s">
        <v>45</v>
      </c>
      <c r="D71" s="5" t="s">
        <v>115</v>
      </c>
      <c r="E71" s="23">
        <f>9.52-4.98-0.995-0.057-0.104</f>
        <v>3.383999999999999</v>
      </c>
    </row>
    <row r="72" spans="1:5" ht="28.5" x14ac:dyDescent="0.2">
      <c r="A72" s="33" t="s">
        <v>643</v>
      </c>
      <c r="B72" s="1" t="s">
        <v>24</v>
      </c>
      <c r="C72" s="1" t="s">
        <v>25</v>
      </c>
      <c r="D72" s="5" t="s">
        <v>13</v>
      </c>
      <c r="E72" s="25">
        <f>2.345-2.005-0.008-0.04-0.008</f>
        <v>0.28400000000000031</v>
      </c>
    </row>
    <row r="73" spans="1:5" ht="28.5" x14ac:dyDescent="0.2">
      <c r="A73" s="33" t="s">
        <v>643</v>
      </c>
      <c r="B73" s="1" t="s">
        <v>24</v>
      </c>
      <c r="C73" s="1" t="s">
        <v>45</v>
      </c>
      <c r="D73" s="5" t="s">
        <v>30</v>
      </c>
      <c r="E73" s="25">
        <f>2.195-0.14-0.378-0.991-0.104-0.08-0.122-0.02-0.02-0.02-0.04-0.06-0.06-0.02</f>
        <v>0.13999999999999965</v>
      </c>
    </row>
    <row r="74" spans="1:5" ht="28.5" x14ac:dyDescent="0.2">
      <c r="A74" s="33" t="s">
        <v>643</v>
      </c>
      <c r="B74" s="1" t="s">
        <v>24</v>
      </c>
      <c r="C74" s="1" t="s">
        <v>109</v>
      </c>
      <c r="D74" s="5" t="s">
        <v>108</v>
      </c>
      <c r="E74" s="25">
        <f>0.363-0.014-0.1-0.074</f>
        <v>0.17499999999999999</v>
      </c>
    </row>
    <row r="75" spans="1:5" ht="28.5" x14ac:dyDescent="0.2">
      <c r="A75" s="33" t="s">
        <v>643</v>
      </c>
      <c r="B75" s="1" t="s">
        <v>24</v>
      </c>
      <c r="C75" s="12" t="s">
        <v>45</v>
      </c>
      <c r="D75" s="5" t="s">
        <v>55</v>
      </c>
      <c r="E75" s="25">
        <f>1.191-0.097-0.05-0.05-0.51-0.025-0.025-0.05-0.098-0.05-0.075-0.075-0.025-0.025-0.025</f>
        <v>1.099999999999992E-2</v>
      </c>
    </row>
    <row r="76" spans="1:5" ht="28.5" x14ac:dyDescent="0.2">
      <c r="A76" s="33" t="s">
        <v>643</v>
      </c>
      <c r="B76" s="12" t="s">
        <v>28</v>
      </c>
      <c r="C76" s="12" t="s">
        <v>45</v>
      </c>
      <c r="D76" s="5" t="s">
        <v>82</v>
      </c>
      <c r="E76" s="25">
        <f>10.39-0.554-0.037-0.518-3.518-0.111-0.111-0.109-1.996-1.52-0.366-0.037-0.296</f>
        <v>1.2169999999999994</v>
      </c>
    </row>
    <row r="77" spans="1:5" ht="28.5" x14ac:dyDescent="0.2">
      <c r="A77" s="33" t="s">
        <v>643</v>
      </c>
      <c r="B77" s="12" t="s">
        <v>28</v>
      </c>
      <c r="C77" s="12" t="s">
        <v>45</v>
      </c>
      <c r="D77" s="5" t="s">
        <v>154</v>
      </c>
      <c r="E77" s="23">
        <f>4.52-0.05-0.098-0.798-0.2-0.748-0.3-0.3-0.199-0.099-0.05-0.249-0.148-0.148-0.99-0.049</f>
        <v>9.4000000000000014E-2</v>
      </c>
    </row>
    <row r="78" spans="1:5" ht="28.5" x14ac:dyDescent="0.2">
      <c r="A78" s="33" t="s">
        <v>643</v>
      </c>
      <c r="B78" s="12" t="s">
        <v>28</v>
      </c>
      <c r="C78" s="12" t="s">
        <v>45</v>
      </c>
      <c r="D78" s="5" t="s">
        <v>154</v>
      </c>
      <c r="E78" s="23">
        <f>4.74-4.012</f>
        <v>0.72800000000000065</v>
      </c>
    </row>
    <row r="79" spans="1:5" ht="28.5" x14ac:dyDescent="0.2">
      <c r="A79" s="33" t="s">
        <v>643</v>
      </c>
      <c r="B79" s="12" t="s">
        <v>28</v>
      </c>
      <c r="C79" s="12" t="s">
        <v>45</v>
      </c>
      <c r="D79" s="5" t="s">
        <v>22</v>
      </c>
      <c r="E79" s="25">
        <f>1.764-0.188-0.062-0.128-0.314-0.065-0.502-0.062-0.062-0.063-0.19-0.06</f>
        <v>6.8000000000000116E-2</v>
      </c>
    </row>
    <row r="80" spans="1:5" ht="28.5" x14ac:dyDescent="0.2">
      <c r="A80" s="33" t="s">
        <v>643</v>
      </c>
      <c r="B80" s="10" t="s">
        <v>29</v>
      </c>
      <c r="C80" s="16" t="s">
        <v>302</v>
      </c>
      <c r="D80" s="16" t="s">
        <v>37</v>
      </c>
      <c r="E80" s="21">
        <f>2.824-0.5</f>
        <v>2.3239999999999998</v>
      </c>
    </row>
    <row r="81" spans="1:5" ht="28.5" x14ac:dyDescent="0.2">
      <c r="A81" s="33" t="s">
        <v>643</v>
      </c>
      <c r="B81" s="10" t="s">
        <v>29</v>
      </c>
      <c r="C81" s="16" t="s">
        <v>157</v>
      </c>
      <c r="D81" s="16" t="s">
        <v>41</v>
      </c>
      <c r="E81" s="20">
        <f>7.244-3.632-0.048-1.002-0.016-0.016-0.016-1</f>
        <v>1.5139999999999993</v>
      </c>
    </row>
    <row r="82" spans="1:5" ht="28.5" x14ac:dyDescent="0.2">
      <c r="A82" s="33" t="s">
        <v>643</v>
      </c>
      <c r="B82" s="10" t="s">
        <v>29</v>
      </c>
      <c r="C82" s="16" t="s">
        <v>157</v>
      </c>
      <c r="D82" s="16" t="s">
        <v>41</v>
      </c>
      <c r="E82" s="20">
        <f>4.524</f>
        <v>4.524</v>
      </c>
    </row>
    <row r="83" spans="1:5" ht="28.5" x14ac:dyDescent="0.2">
      <c r="A83" s="33" t="s">
        <v>643</v>
      </c>
      <c r="B83" s="10" t="s">
        <v>29</v>
      </c>
      <c r="C83" s="10" t="s">
        <v>38</v>
      </c>
      <c r="D83" s="16" t="s">
        <v>125</v>
      </c>
      <c r="E83" s="20">
        <f>1.01-0.56-0.16</f>
        <v>0.28999999999999992</v>
      </c>
    </row>
    <row r="84" spans="1:5" ht="28.5" x14ac:dyDescent="0.2">
      <c r="A84" s="33" t="s">
        <v>643</v>
      </c>
      <c r="B84" s="10" t="s">
        <v>29</v>
      </c>
      <c r="C84" s="10" t="s">
        <v>38</v>
      </c>
      <c r="D84" s="16" t="s">
        <v>112</v>
      </c>
      <c r="E84" s="20">
        <f>0.185</f>
        <v>0.185</v>
      </c>
    </row>
    <row r="85" spans="1:5" ht="28.5" x14ac:dyDescent="0.2">
      <c r="A85" s="33" t="s">
        <v>643</v>
      </c>
      <c r="B85" s="10" t="s">
        <v>29</v>
      </c>
      <c r="C85" s="10" t="s">
        <v>38</v>
      </c>
      <c r="D85" s="16" t="s">
        <v>49</v>
      </c>
      <c r="E85" s="20">
        <f>0.757-0.048-0.096-0.304-0.19</f>
        <v>0.11899999999999999</v>
      </c>
    </row>
    <row r="86" spans="1:5" ht="28.5" x14ac:dyDescent="0.2">
      <c r="A86" s="33" t="s">
        <v>643</v>
      </c>
      <c r="B86" s="10" t="s">
        <v>29</v>
      </c>
      <c r="C86" s="10" t="s">
        <v>38</v>
      </c>
      <c r="D86" s="16" t="s">
        <v>49</v>
      </c>
      <c r="E86" s="20">
        <f>0.757</f>
        <v>0.75700000000000001</v>
      </c>
    </row>
    <row r="87" spans="1:5" ht="28.5" x14ac:dyDescent="0.2">
      <c r="A87" s="33" t="s">
        <v>643</v>
      </c>
      <c r="B87" s="10" t="s">
        <v>29</v>
      </c>
      <c r="C87" s="10" t="s">
        <v>38</v>
      </c>
      <c r="D87" s="16" t="s">
        <v>7</v>
      </c>
      <c r="E87" s="20">
        <f>1.09-0.993</f>
        <v>9.7000000000000086E-2</v>
      </c>
    </row>
    <row r="88" spans="1:5" ht="28.5" x14ac:dyDescent="0.2">
      <c r="A88" s="33" t="s">
        <v>643</v>
      </c>
      <c r="B88" s="10" t="s">
        <v>29</v>
      </c>
      <c r="C88" s="10" t="s">
        <v>38</v>
      </c>
      <c r="D88" s="16" t="s">
        <v>7</v>
      </c>
      <c r="E88" s="20">
        <f>1.935-0.074-0.26-0.19-0.226</f>
        <v>1.1850000000000001</v>
      </c>
    </row>
    <row r="89" spans="1:5" ht="28.5" x14ac:dyDescent="0.2">
      <c r="A89" s="33" t="s">
        <v>643</v>
      </c>
      <c r="B89" s="10" t="s">
        <v>29</v>
      </c>
      <c r="C89" s="10" t="s">
        <v>38</v>
      </c>
      <c r="D89" s="16" t="s">
        <v>8</v>
      </c>
      <c r="E89" s="20">
        <f>1.155</f>
        <v>1.155</v>
      </c>
    </row>
    <row r="90" spans="1:5" ht="28.5" x14ac:dyDescent="0.2">
      <c r="A90" s="33" t="s">
        <v>643</v>
      </c>
      <c r="B90" s="1" t="s">
        <v>17</v>
      </c>
      <c r="C90" s="2" t="s">
        <v>113</v>
      </c>
      <c r="D90" s="16" t="s">
        <v>58</v>
      </c>
      <c r="E90" s="20">
        <f>2.864-0.506-0.027-0.012</f>
        <v>2.3189999999999995</v>
      </c>
    </row>
    <row r="91" spans="1:5" ht="28.5" x14ac:dyDescent="0.2">
      <c r="A91" s="33" t="s">
        <v>643</v>
      </c>
      <c r="B91" s="1" t="s">
        <v>17</v>
      </c>
      <c r="C91" s="2" t="s">
        <v>113</v>
      </c>
      <c r="D91" s="16" t="s">
        <v>104</v>
      </c>
      <c r="E91" s="20">
        <f>2.69-0.007-0.214-0.028-0.007-0.007-0.014-0.007-0.248-0.102-0.062-0.205-0.021-0.505-0.049-0.007-0.206</f>
        <v>1.0009999999999997</v>
      </c>
    </row>
    <row r="92" spans="1:5" ht="28.5" x14ac:dyDescent="0.2">
      <c r="A92" s="33" t="s">
        <v>643</v>
      </c>
      <c r="B92" s="1" t="s">
        <v>17</v>
      </c>
      <c r="C92" s="2" t="s">
        <v>113</v>
      </c>
      <c r="D92" s="16" t="s">
        <v>52</v>
      </c>
      <c r="E92" s="20">
        <f>2.904-0.295-0.405-0.701-0.108-0.066-0.51-0.018-0.045-0.198</f>
        <v>0.55799999999999939</v>
      </c>
    </row>
    <row r="93" spans="1:5" ht="28.5" x14ac:dyDescent="0.2">
      <c r="A93" s="33" t="s">
        <v>643</v>
      </c>
      <c r="B93" s="1" t="s">
        <v>17</v>
      </c>
      <c r="C93" s="2" t="s">
        <v>113</v>
      </c>
      <c r="D93" s="16" t="s">
        <v>43</v>
      </c>
      <c r="E93" s="20">
        <f>3.422-0.991-0.011-0.011-0.011-0.044-0.011-0.011-0.044-0.11-0.094-0.033-0.011-0.105-0.105-0.022-0.105-0.156-0.011-0.011-0.157-0.011-0.011-0.011-0.033-0.415-0.063-0.033-0.011</f>
        <v>0.78000000000000025</v>
      </c>
    </row>
    <row r="94" spans="1:5" ht="28.5" x14ac:dyDescent="0.2">
      <c r="A94" s="33" t="s">
        <v>643</v>
      </c>
      <c r="B94" s="1" t="s">
        <v>17</v>
      </c>
      <c r="C94" s="2" t="s">
        <v>113</v>
      </c>
      <c r="D94" s="5" t="s">
        <v>105</v>
      </c>
      <c r="E94" s="23">
        <f>3.07-0.097-0.152-0.301-0.03-0.14-0.03-0.014-0.015-0.11-0.056-0.015-0.015-0.015-0.015-0.015-0.015-0.045-0.07-0.015-0.274</f>
        <v>1.6309999999999993</v>
      </c>
    </row>
    <row r="95" spans="1:5" ht="28.5" x14ac:dyDescent="0.2">
      <c r="A95" s="33" t="s">
        <v>643</v>
      </c>
      <c r="B95" s="1" t="s">
        <v>84</v>
      </c>
      <c r="C95" s="2" t="s">
        <v>106</v>
      </c>
      <c r="D95" s="16" t="s">
        <v>308</v>
      </c>
      <c r="E95" s="20">
        <f>6.947-5.266-0.052</f>
        <v>1.629</v>
      </c>
    </row>
    <row r="96" spans="1:5" ht="28.5" x14ac:dyDescent="0.2">
      <c r="A96" s="33" t="s">
        <v>643</v>
      </c>
      <c r="B96" s="1" t="s">
        <v>84</v>
      </c>
      <c r="C96" s="2" t="s">
        <v>106</v>
      </c>
      <c r="D96" s="16" t="s">
        <v>308</v>
      </c>
      <c r="E96" s="20">
        <f>1.719</f>
        <v>1.7190000000000001</v>
      </c>
    </row>
    <row r="97" spans="1:5" ht="42.75" x14ac:dyDescent="0.2">
      <c r="A97" s="34" t="s">
        <v>644</v>
      </c>
      <c r="B97" s="2" t="s">
        <v>4</v>
      </c>
      <c r="C97" s="12" t="s">
        <v>389</v>
      </c>
      <c r="D97" s="5" t="s">
        <v>102</v>
      </c>
      <c r="E97" s="22">
        <f>0.029</f>
        <v>2.9000000000000001E-2</v>
      </c>
    </row>
    <row r="98" spans="1:5" ht="42.75" x14ac:dyDescent="0.2">
      <c r="A98" s="34" t="s">
        <v>644</v>
      </c>
      <c r="B98" s="12" t="s">
        <v>4</v>
      </c>
      <c r="C98" s="12" t="s">
        <v>389</v>
      </c>
      <c r="D98" s="12" t="s">
        <v>7</v>
      </c>
      <c r="E98" s="24">
        <f>3.502-0.2-0.066</f>
        <v>3.2359999999999998</v>
      </c>
    </row>
    <row r="99" spans="1:5" ht="42.75" x14ac:dyDescent="0.2">
      <c r="A99" s="34" t="s">
        <v>644</v>
      </c>
      <c r="B99" s="12" t="s">
        <v>4</v>
      </c>
      <c r="C99" s="12" t="s">
        <v>390</v>
      </c>
      <c r="D99" s="12" t="s">
        <v>303</v>
      </c>
      <c r="E99" s="22">
        <f>17.23-3.16-3.215-0.198-3.144-1.624-0.04-1.578-0.276-1.62-2.29</f>
        <v>8.4999999999999076E-2</v>
      </c>
    </row>
    <row r="100" spans="1:5" ht="42.75" x14ac:dyDescent="0.2">
      <c r="A100" s="34" t="s">
        <v>644</v>
      </c>
      <c r="B100" s="2" t="s">
        <v>4</v>
      </c>
      <c r="C100" s="2" t="s">
        <v>20</v>
      </c>
      <c r="D100" s="8" t="s">
        <v>10</v>
      </c>
      <c r="E100" s="22">
        <f>1.93-0.026-0.026-0.026-0.175-0.025-0.025-0.1-0.025-0.025-0.29-0.051-1.004-0.026-0.022-0.048+0.014-0.034</f>
        <v>1.6000000000000125E-2</v>
      </c>
    </row>
    <row r="101" spans="1:5" ht="42.75" x14ac:dyDescent="0.2">
      <c r="A101" s="34" t="s">
        <v>644</v>
      </c>
      <c r="B101" s="12" t="s">
        <v>4</v>
      </c>
      <c r="C101" s="12" t="s">
        <v>256</v>
      </c>
      <c r="D101" s="14" t="s">
        <v>5</v>
      </c>
      <c r="E101" s="24">
        <f>5.395-0.042-0.039-0.122-0.334-0.042-0.082-0.414</f>
        <v>4.3200000000000012</v>
      </c>
    </row>
    <row r="102" spans="1:5" ht="42.75" x14ac:dyDescent="0.2">
      <c r="A102" s="34" t="s">
        <v>644</v>
      </c>
      <c r="B102" s="12" t="s">
        <v>4</v>
      </c>
      <c r="C102" s="12" t="s">
        <v>256</v>
      </c>
      <c r="D102" s="12" t="s">
        <v>8</v>
      </c>
      <c r="E102" s="24">
        <f>0.222-0.044</f>
        <v>0.17799999999999999</v>
      </c>
    </row>
    <row r="103" spans="1:5" ht="42.75" x14ac:dyDescent="0.2">
      <c r="A103" s="34" t="s">
        <v>644</v>
      </c>
      <c r="B103" s="2" t="s">
        <v>4</v>
      </c>
      <c r="C103" s="12" t="s">
        <v>256</v>
      </c>
      <c r="D103" s="5" t="s">
        <v>116</v>
      </c>
      <c r="E103" s="24">
        <f>19.105-10.199-0.53-2.384-2.614-2.378</f>
        <v>1.0000000000000009</v>
      </c>
    </row>
    <row r="104" spans="1:5" ht="42.75" x14ac:dyDescent="0.2">
      <c r="A104" s="34" t="s">
        <v>644</v>
      </c>
      <c r="B104" s="2" t="s">
        <v>4</v>
      </c>
      <c r="C104" s="12" t="s">
        <v>256</v>
      </c>
      <c r="D104" s="5" t="s">
        <v>48</v>
      </c>
      <c r="E104" s="24">
        <f>1.565-0.116-0.058-0.058</f>
        <v>1.3329999999999997</v>
      </c>
    </row>
    <row r="105" spans="1:5" ht="42.75" x14ac:dyDescent="0.2">
      <c r="A105" s="34" t="s">
        <v>644</v>
      </c>
      <c r="B105" s="2" t="s">
        <v>4</v>
      </c>
      <c r="C105" s="1" t="s">
        <v>107</v>
      </c>
      <c r="D105" s="5" t="s">
        <v>9</v>
      </c>
      <c r="E105" s="25">
        <f>5.33-0.064-0.588-0.584-0.064-0.064-0.192-0.064-0.066</f>
        <v>3.6440000000000001</v>
      </c>
    </row>
    <row r="106" spans="1:5" ht="42.75" x14ac:dyDescent="0.2">
      <c r="A106" s="34" t="s">
        <v>644</v>
      </c>
      <c r="B106" s="2" t="s">
        <v>4</v>
      </c>
      <c r="C106" s="1" t="s">
        <v>107</v>
      </c>
      <c r="D106" s="8" t="s">
        <v>64</v>
      </c>
      <c r="E106" s="25">
        <f>14.255-2.89-0.082-5</f>
        <v>6.2829999999999995</v>
      </c>
    </row>
    <row r="107" spans="1:5" ht="42.75" x14ac:dyDescent="0.2">
      <c r="A107" s="34" t="s">
        <v>644</v>
      </c>
      <c r="B107" s="2" t="s">
        <v>4</v>
      </c>
      <c r="C107" s="1" t="s">
        <v>107</v>
      </c>
      <c r="D107" s="8" t="s">
        <v>64</v>
      </c>
      <c r="E107" s="25">
        <f>1.6</f>
        <v>1.6</v>
      </c>
    </row>
    <row r="108" spans="1:5" ht="42.75" x14ac:dyDescent="0.2">
      <c r="A108" s="34" t="s">
        <v>644</v>
      </c>
      <c r="B108" s="1" t="s">
        <v>4</v>
      </c>
      <c r="C108" s="1" t="s">
        <v>107</v>
      </c>
      <c r="D108" s="8" t="s">
        <v>78</v>
      </c>
      <c r="E108" s="25">
        <f>10.315-0.098-1.936-0.192-0.096-4.012-0.194-0.48-0.192-0.576</f>
        <v>2.5389999999999988</v>
      </c>
    </row>
    <row r="109" spans="1:5" ht="42.75" x14ac:dyDescent="0.2">
      <c r="A109" s="34" t="s">
        <v>644</v>
      </c>
      <c r="B109" s="1" t="s">
        <v>4</v>
      </c>
      <c r="C109" s="1" t="s">
        <v>107</v>
      </c>
      <c r="D109" s="8" t="s">
        <v>78</v>
      </c>
      <c r="E109" s="25">
        <f>10.325-5</f>
        <v>5.3249999999999993</v>
      </c>
    </row>
    <row r="110" spans="1:5" ht="42.75" x14ac:dyDescent="0.2">
      <c r="A110" s="34" t="s">
        <v>644</v>
      </c>
      <c r="B110" s="1" t="s">
        <v>4</v>
      </c>
      <c r="C110" s="1" t="s">
        <v>107</v>
      </c>
      <c r="D110" s="8" t="s">
        <v>164</v>
      </c>
      <c r="E110" s="23">
        <f>4.845-0.198-0.194-0.584</f>
        <v>3.8689999999999993</v>
      </c>
    </row>
    <row r="111" spans="1:5" ht="42.75" x14ac:dyDescent="0.2">
      <c r="A111" s="34" t="s">
        <v>644</v>
      </c>
      <c r="B111" s="1" t="s">
        <v>4</v>
      </c>
      <c r="C111" s="1" t="s">
        <v>107</v>
      </c>
      <c r="D111" s="8" t="s">
        <v>163</v>
      </c>
      <c r="E111" s="23">
        <f>4.32-1.438-0.236</f>
        <v>2.6460000000000008</v>
      </c>
    </row>
    <row r="112" spans="1:5" ht="42.75" x14ac:dyDescent="0.2">
      <c r="A112" s="34" t="s">
        <v>644</v>
      </c>
      <c r="B112" s="1" t="s">
        <v>4</v>
      </c>
      <c r="C112" s="1" t="s">
        <v>107</v>
      </c>
      <c r="D112" s="8" t="s">
        <v>254</v>
      </c>
      <c r="E112" s="23">
        <f>0.836-0.414</f>
        <v>0.42199999999999999</v>
      </c>
    </row>
    <row r="113" spans="1:5" ht="42.75" x14ac:dyDescent="0.2">
      <c r="A113" s="34" t="s">
        <v>644</v>
      </c>
      <c r="B113" s="1" t="s">
        <v>4</v>
      </c>
      <c r="C113" s="1" t="s">
        <v>107</v>
      </c>
      <c r="D113" s="8" t="s">
        <v>54</v>
      </c>
      <c r="E113" s="25">
        <f>2.556</f>
        <v>2.556</v>
      </c>
    </row>
    <row r="114" spans="1:5" ht="42.75" x14ac:dyDescent="0.2">
      <c r="A114" s="34" t="s">
        <v>644</v>
      </c>
      <c r="B114" s="1" t="s">
        <v>4</v>
      </c>
      <c r="C114" s="1" t="s">
        <v>242</v>
      </c>
      <c r="D114" s="8" t="s">
        <v>541</v>
      </c>
      <c r="E114" s="23">
        <f>1.137-0.039-0.064-0.182-0.056-0.334-0.001-0.076-0.001-0.186</f>
        <v>0.19800000000000001</v>
      </c>
    </row>
    <row r="115" spans="1:5" ht="42.75" x14ac:dyDescent="0.2">
      <c r="A115" s="34" t="s">
        <v>644</v>
      </c>
      <c r="B115" s="1" t="s">
        <v>4</v>
      </c>
      <c r="C115" s="1" t="s">
        <v>107</v>
      </c>
      <c r="D115" s="8" t="s">
        <v>34</v>
      </c>
      <c r="E115" s="23">
        <f>3.411</f>
        <v>3.411</v>
      </c>
    </row>
    <row r="116" spans="1:5" ht="42.75" x14ac:dyDescent="0.2">
      <c r="A116" s="34" t="s">
        <v>644</v>
      </c>
      <c r="B116" s="1" t="s">
        <v>4</v>
      </c>
      <c r="C116" s="1" t="s">
        <v>107</v>
      </c>
      <c r="D116" s="8" t="s">
        <v>40</v>
      </c>
      <c r="E116" s="25">
        <f>2.856</f>
        <v>2.8559999999999999</v>
      </c>
    </row>
    <row r="117" spans="1:5" ht="42.75" x14ac:dyDescent="0.2">
      <c r="A117" s="34" t="s">
        <v>644</v>
      </c>
      <c r="B117" s="1" t="s">
        <v>23</v>
      </c>
      <c r="C117" s="16" t="s">
        <v>336</v>
      </c>
      <c r="D117" s="8" t="s">
        <v>7</v>
      </c>
      <c r="E117" s="25">
        <f>6.05-0.316-0.092-0.032-0.126-0.498-0.032-0.096</f>
        <v>4.8579999999999997</v>
      </c>
    </row>
    <row r="118" spans="1:5" ht="42.75" x14ac:dyDescent="0.2">
      <c r="A118" s="34" t="s">
        <v>644</v>
      </c>
      <c r="B118" s="1" t="s">
        <v>23</v>
      </c>
      <c r="C118" s="16" t="s">
        <v>336</v>
      </c>
      <c r="D118" s="8" t="s">
        <v>8</v>
      </c>
      <c r="E118" s="23">
        <f>4.22-0.048-0.095-0.048-0.144-0.048-0.336-0.527-0.479-0.48</f>
        <v>2.0149999999999997</v>
      </c>
    </row>
    <row r="119" spans="1:5" ht="42.75" x14ac:dyDescent="0.2">
      <c r="A119" s="34" t="s">
        <v>644</v>
      </c>
      <c r="B119" s="1" t="s">
        <v>23</v>
      </c>
      <c r="C119" s="16" t="s">
        <v>462</v>
      </c>
      <c r="D119" s="8" t="s">
        <v>48</v>
      </c>
      <c r="E119" s="23">
        <f>4.035-0.278</f>
        <v>3.7570000000000001</v>
      </c>
    </row>
    <row r="120" spans="1:5" ht="42.75" x14ac:dyDescent="0.2">
      <c r="A120" s="34" t="s">
        <v>644</v>
      </c>
      <c r="B120" s="1" t="s">
        <v>23</v>
      </c>
      <c r="C120" s="16" t="s">
        <v>336</v>
      </c>
      <c r="D120" s="8" t="s">
        <v>9</v>
      </c>
      <c r="E120" s="23">
        <f>4.025-0.06-0.064-0.502-0.62-0.062-0.126-0.504</f>
        <v>2.0870000000000002</v>
      </c>
    </row>
    <row r="121" spans="1:5" ht="42.75" x14ac:dyDescent="0.2">
      <c r="A121" s="34" t="s">
        <v>644</v>
      </c>
      <c r="B121" s="1" t="s">
        <v>23</v>
      </c>
      <c r="C121" s="16" t="s">
        <v>336</v>
      </c>
      <c r="D121" s="8" t="s">
        <v>476</v>
      </c>
      <c r="E121" s="23">
        <f>0.348-0.115-0.175-0.002</f>
        <v>5.5999999999999994E-2</v>
      </c>
    </row>
    <row r="122" spans="1:5" ht="42.75" x14ac:dyDescent="0.2">
      <c r="A122" s="34" t="s">
        <v>644</v>
      </c>
      <c r="B122" s="1" t="s">
        <v>23</v>
      </c>
      <c r="C122" s="16" t="s">
        <v>336</v>
      </c>
      <c r="D122" s="8" t="s">
        <v>70</v>
      </c>
      <c r="E122" s="25">
        <f>4.1-0.348-0.343-1.704-0.342-0.342-0.345</f>
        <v>0.67599999999999971</v>
      </c>
    </row>
    <row r="123" spans="1:5" ht="42.75" x14ac:dyDescent="0.2">
      <c r="A123" s="34" t="s">
        <v>644</v>
      </c>
      <c r="B123" s="1" t="s">
        <v>23</v>
      </c>
      <c r="C123" s="16" t="s">
        <v>336</v>
      </c>
      <c r="D123" s="8" t="s">
        <v>56</v>
      </c>
      <c r="E123" s="23">
        <f>10.77-0.41-0.404-0.814-0.418-0.406-0.398-0.41-0.412-0.418-0.424-0.41-0.832-1.666-0.434-0.425-0.424</f>
        <v>2.0649999999999995</v>
      </c>
    </row>
    <row r="124" spans="1:5" ht="42.75" x14ac:dyDescent="0.2">
      <c r="A124" s="34" t="s">
        <v>644</v>
      </c>
      <c r="B124" s="1" t="s">
        <v>23</v>
      </c>
      <c r="C124" s="16" t="s">
        <v>336</v>
      </c>
      <c r="D124" s="8" t="s">
        <v>433</v>
      </c>
      <c r="E124" s="23">
        <f>0.406-0.204-0.032-0.038-0.034-0.001</f>
        <v>9.7000000000000031E-2</v>
      </c>
    </row>
    <row r="125" spans="1:5" ht="42.75" x14ac:dyDescent="0.2">
      <c r="A125" s="34" t="s">
        <v>644</v>
      </c>
      <c r="B125" s="1" t="s">
        <v>23</v>
      </c>
      <c r="C125" s="16" t="s">
        <v>336</v>
      </c>
      <c r="D125" s="8" t="s">
        <v>445</v>
      </c>
      <c r="E125" s="23">
        <f>0.425-0.208-0.011</f>
        <v>0.20599999999999999</v>
      </c>
    </row>
    <row r="126" spans="1:5" ht="42.75" x14ac:dyDescent="0.2">
      <c r="A126" s="34" t="s">
        <v>644</v>
      </c>
      <c r="B126" s="1" t="s">
        <v>23</v>
      </c>
      <c r="C126" s="16" t="s">
        <v>336</v>
      </c>
      <c r="D126" s="8" t="s">
        <v>59</v>
      </c>
      <c r="E126" s="23">
        <f>4.22</f>
        <v>4.22</v>
      </c>
    </row>
    <row r="127" spans="1:5" ht="42.75" x14ac:dyDescent="0.2">
      <c r="A127" s="34" t="s">
        <v>644</v>
      </c>
      <c r="B127" s="1" t="s">
        <v>23</v>
      </c>
      <c r="C127" s="16" t="s">
        <v>509</v>
      </c>
      <c r="D127" s="8" t="s">
        <v>207</v>
      </c>
      <c r="E127" s="23">
        <f>4.41-1.106-0.551-0.554-0.545</f>
        <v>1.6539999999999999</v>
      </c>
    </row>
    <row r="128" spans="1:5" ht="42.75" x14ac:dyDescent="0.2">
      <c r="A128" s="34" t="s">
        <v>644</v>
      </c>
      <c r="B128" s="1" t="s">
        <v>23</v>
      </c>
      <c r="C128" s="16" t="s">
        <v>509</v>
      </c>
      <c r="D128" s="8" t="s">
        <v>532</v>
      </c>
      <c r="E128" s="23">
        <f>0.545-0.183-0.092-0.092</f>
        <v>0.17800000000000002</v>
      </c>
    </row>
    <row r="129" spans="1:5" ht="42.75" x14ac:dyDescent="0.2">
      <c r="A129" s="34" t="s">
        <v>644</v>
      </c>
      <c r="B129" s="1" t="s">
        <v>23</v>
      </c>
      <c r="C129" s="16" t="s">
        <v>509</v>
      </c>
      <c r="D129" s="7" t="s">
        <v>12</v>
      </c>
      <c r="E129" s="25">
        <f>4.2-0.704-0.698-0.701-0.688-0.71</f>
        <v>0.69900000000000051</v>
      </c>
    </row>
    <row r="130" spans="1:5" ht="42.75" x14ac:dyDescent="0.2">
      <c r="A130" s="34" t="s">
        <v>644</v>
      </c>
      <c r="B130" s="1" t="s">
        <v>23</v>
      </c>
      <c r="C130" s="16" t="s">
        <v>509</v>
      </c>
      <c r="D130" s="7" t="s">
        <v>599</v>
      </c>
      <c r="E130" s="25">
        <f>0.71-0.06-0.302</f>
        <v>0.34799999999999992</v>
      </c>
    </row>
    <row r="131" spans="1:5" ht="42.75" x14ac:dyDescent="0.2">
      <c r="A131" s="34" t="s">
        <v>644</v>
      </c>
      <c r="B131" s="1" t="s">
        <v>23</v>
      </c>
      <c r="C131" s="16" t="s">
        <v>509</v>
      </c>
      <c r="D131" s="7" t="s">
        <v>448</v>
      </c>
      <c r="E131" s="23">
        <f>0.82-0.2-0.118+0.03-0.038-0.284-0.072-0.002-0.072</f>
        <v>6.399999999999996E-2</v>
      </c>
    </row>
    <row r="132" spans="1:5" ht="42.75" x14ac:dyDescent="0.2">
      <c r="A132" s="34" t="s">
        <v>644</v>
      </c>
      <c r="B132" s="1" t="s">
        <v>23</v>
      </c>
      <c r="C132" s="16" t="s">
        <v>509</v>
      </c>
      <c r="D132" s="7" t="s">
        <v>54</v>
      </c>
      <c r="E132" s="23">
        <f>6.75-1.698-1.69-0.85-0.85</f>
        <v>1.6619999999999995</v>
      </c>
    </row>
    <row r="133" spans="1:5" ht="42.75" x14ac:dyDescent="0.2">
      <c r="A133" s="34" t="s">
        <v>644</v>
      </c>
      <c r="B133" s="1" t="s">
        <v>23</v>
      </c>
      <c r="C133" s="16" t="s">
        <v>509</v>
      </c>
      <c r="D133" s="7" t="s">
        <v>254</v>
      </c>
      <c r="E133" s="23">
        <f>0.85-0.424</f>
        <v>0.42599999999999999</v>
      </c>
    </row>
    <row r="134" spans="1:5" ht="42.75" x14ac:dyDescent="0.2">
      <c r="A134" s="34" t="s">
        <v>644</v>
      </c>
      <c r="B134" s="1" t="s">
        <v>23</v>
      </c>
      <c r="C134" s="16" t="s">
        <v>509</v>
      </c>
      <c r="D134" s="7" t="s">
        <v>54</v>
      </c>
      <c r="E134" s="23">
        <f>4.13</f>
        <v>4.13</v>
      </c>
    </row>
    <row r="135" spans="1:5" ht="42.75" x14ac:dyDescent="0.2">
      <c r="A135" s="34" t="s">
        <v>644</v>
      </c>
      <c r="B135" s="1" t="s">
        <v>23</v>
      </c>
      <c r="C135" s="16" t="s">
        <v>336</v>
      </c>
      <c r="D135" s="7" t="s">
        <v>80</v>
      </c>
      <c r="E135" s="25">
        <f>3.87-0.99</f>
        <v>2.88</v>
      </c>
    </row>
    <row r="136" spans="1:5" ht="42.75" x14ac:dyDescent="0.2">
      <c r="A136" s="34" t="s">
        <v>644</v>
      </c>
      <c r="B136" s="1" t="s">
        <v>23</v>
      </c>
      <c r="C136" s="16" t="s">
        <v>336</v>
      </c>
      <c r="D136" s="7" t="s">
        <v>600</v>
      </c>
      <c r="E136" s="25">
        <f>0.99-0.143</f>
        <v>0.84699999999999998</v>
      </c>
    </row>
    <row r="137" spans="1:5" ht="42.75" x14ac:dyDescent="0.2">
      <c r="A137" s="34" t="s">
        <v>644</v>
      </c>
      <c r="B137" s="1" t="s">
        <v>23</v>
      </c>
      <c r="C137" s="16" t="s">
        <v>336</v>
      </c>
      <c r="D137" s="8" t="s">
        <v>335</v>
      </c>
      <c r="E137" s="25">
        <f>7.54-0.848-1.106</f>
        <v>5.5860000000000003</v>
      </c>
    </row>
    <row r="138" spans="1:5" ht="42.75" x14ac:dyDescent="0.2">
      <c r="A138" s="34" t="s">
        <v>644</v>
      </c>
      <c r="B138" s="1" t="s">
        <v>23</v>
      </c>
      <c r="C138" s="16" t="s">
        <v>336</v>
      </c>
      <c r="D138" s="8" t="s">
        <v>511</v>
      </c>
      <c r="E138" s="25">
        <f>0.848-0.37-0.094-0.22-0.002</f>
        <v>0.16200000000000001</v>
      </c>
    </row>
    <row r="139" spans="1:5" ht="42.75" x14ac:dyDescent="0.2">
      <c r="A139" s="34" t="s">
        <v>644</v>
      </c>
      <c r="B139" s="1" t="s">
        <v>23</v>
      </c>
      <c r="C139" s="16" t="s">
        <v>336</v>
      </c>
      <c r="D139" s="8" t="s">
        <v>550</v>
      </c>
      <c r="E139" s="25">
        <f>1.106-1.012</f>
        <v>9.4000000000000083E-2</v>
      </c>
    </row>
    <row r="140" spans="1:5" ht="42.75" x14ac:dyDescent="0.2">
      <c r="A140" s="34" t="s">
        <v>644</v>
      </c>
      <c r="B140" s="1" t="s">
        <v>23</v>
      </c>
      <c r="C140" s="16" t="s">
        <v>336</v>
      </c>
      <c r="D140" s="8" t="s">
        <v>34</v>
      </c>
      <c r="E140" s="25">
        <f>2.21</f>
        <v>2.21</v>
      </c>
    </row>
    <row r="141" spans="1:5" ht="42.75" x14ac:dyDescent="0.2">
      <c r="A141" s="34" t="s">
        <v>644</v>
      </c>
      <c r="B141" s="1" t="s">
        <v>6</v>
      </c>
      <c r="C141" s="1" t="s">
        <v>499</v>
      </c>
      <c r="D141" s="5" t="s">
        <v>185</v>
      </c>
      <c r="E141" s="23">
        <f>0.196</f>
        <v>0.19600000000000001</v>
      </c>
    </row>
    <row r="142" spans="1:5" ht="42.75" x14ac:dyDescent="0.2">
      <c r="A142" s="34" t="s">
        <v>644</v>
      </c>
      <c r="B142" s="1" t="s">
        <v>6</v>
      </c>
      <c r="C142" s="1" t="s">
        <v>499</v>
      </c>
      <c r="D142" s="5" t="s">
        <v>251</v>
      </c>
      <c r="E142" s="23">
        <f>0.396</f>
        <v>0.39600000000000002</v>
      </c>
    </row>
    <row r="143" spans="1:5" ht="42.75" x14ac:dyDescent="0.2">
      <c r="A143" s="34" t="s">
        <v>644</v>
      </c>
      <c r="B143" s="1" t="s">
        <v>6</v>
      </c>
      <c r="C143" s="1" t="s">
        <v>499</v>
      </c>
      <c r="D143" s="5" t="s">
        <v>7</v>
      </c>
      <c r="E143" s="23">
        <f>3.968-0.876-0.03-0.124-0.254-0.032-0.032-0.032-0.032-0.32-0.032-0.064-0.414-0.032</f>
        <v>1.6940000000000002</v>
      </c>
    </row>
    <row r="144" spans="1:5" ht="42.75" x14ac:dyDescent="0.2">
      <c r="A144" s="34" t="s">
        <v>644</v>
      </c>
      <c r="B144" s="1" t="s">
        <v>6</v>
      </c>
      <c r="C144" s="1" t="s">
        <v>499</v>
      </c>
      <c r="D144" s="5" t="s">
        <v>7</v>
      </c>
      <c r="E144" s="23">
        <f>3.008</f>
        <v>3.008</v>
      </c>
    </row>
    <row r="145" spans="1:5" ht="42.75" x14ac:dyDescent="0.2">
      <c r="A145" s="34" t="s">
        <v>644</v>
      </c>
      <c r="B145" s="1" t="s">
        <v>6</v>
      </c>
      <c r="C145" s="1" t="s">
        <v>499</v>
      </c>
      <c r="D145" s="12" t="s">
        <v>5</v>
      </c>
      <c r="E145" s="23">
        <f>4.09-0.042-0.242-0.04-1.516-0.04-0.04-0.474-0.318-0.2-0.986-0.08</f>
        <v>0.11199999999999995</v>
      </c>
    </row>
    <row r="146" spans="1:5" ht="42.75" x14ac:dyDescent="0.2">
      <c r="A146" s="34" t="s">
        <v>644</v>
      </c>
      <c r="B146" s="1" t="s">
        <v>6</v>
      </c>
      <c r="C146" s="1" t="s">
        <v>499</v>
      </c>
      <c r="D146" s="12" t="s">
        <v>5</v>
      </c>
      <c r="E146" s="23">
        <f>3.54-0.314-0.395-0.158</f>
        <v>2.673</v>
      </c>
    </row>
    <row r="147" spans="1:5" ht="42.75" x14ac:dyDescent="0.2">
      <c r="A147" s="34" t="s">
        <v>644</v>
      </c>
      <c r="B147" s="1" t="s">
        <v>6</v>
      </c>
      <c r="C147" s="1" t="s">
        <v>499</v>
      </c>
      <c r="D147" s="12" t="s">
        <v>97</v>
      </c>
      <c r="E147" s="25">
        <f>6.472-0.094-0.188-0.284-0.51-0.092-0.138-0.048-0.136-0.14-0.046</f>
        <v>4.7960000000000012</v>
      </c>
    </row>
    <row r="148" spans="1:5" ht="42.75" x14ac:dyDescent="0.2">
      <c r="A148" s="34" t="s">
        <v>644</v>
      </c>
      <c r="B148" s="1" t="s">
        <v>6</v>
      </c>
      <c r="C148" s="1" t="s">
        <v>499</v>
      </c>
      <c r="D148" s="12" t="s">
        <v>97</v>
      </c>
      <c r="E148" s="25">
        <f>2.97</f>
        <v>2.97</v>
      </c>
    </row>
    <row r="149" spans="1:5" ht="42.75" x14ac:dyDescent="0.2">
      <c r="A149" s="34" t="s">
        <v>644</v>
      </c>
      <c r="B149" s="1" t="s">
        <v>6</v>
      </c>
      <c r="C149" s="1" t="s">
        <v>499</v>
      </c>
      <c r="D149" s="12" t="s">
        <v>48</v>
      </c>
      <c r="E149" s="25">
        <f>6.89-0.88-0.108</f>
        <v>5.9020000000000001</v>
      </c>
    </row>
    <row r="150" spans="1:5" ht="42.75" x14ac:dyDescent="0.2">
      <c r="A150" s="34" t="s">
        <v>644</v>
      </c>
      <c r="B150" s="1" t="s">
        <v>6</v>
      </c>
      <c r="C150" s="1" t="s">
        <v>499</v>
      </c>
      <c r="D150" s="12" t="s">
        <v>186</v>
      </c>
      <c r="E150" s="23">
        <f>0.156+0.158</f>
        <v>0.314</v>
      </c>
    </row>
    <row r="151" spans="1:5" ht="42.75" x14ac:dyDescent="0.2">
      <c r="A151" s="34" t="s">
        <v>644</v>
      </c>
      <c r="B151" s="1" t="s">
        <v>6</v>
      </c>
      <c r="C151" s="1" t="s">
        <v>499</v>
      </c>
      <c r="D151" s="12" t="s">
        <v>9</v>
      </c>
      <c r="E151" s="23">
        <f>7.548-0.063</f>
        <v>7.4850000000000003</v>
      </c>
    </row>
    <row r="152" spans="1:5" ht="42.75" x14ac:dyDescent="0.2">
      <c r="A152" s="34" t="s">
        <v>644</v>
      </c>
      <c r="B152" s="1" t="s">
        <v>6</v>
      </c>
      <c r="C152" s="1" t="s">
        <v>499</v>
      </c>
      <c r="D152" s="12" t="s">
        <v>472</v>
      </c>
      <c r="E152" s="23">
        <f>1.978</f>
        <v>1.978</v>
      </c>
    </row>
    <row r="153" spans="1:5" ht="42.75" x14ac:dyDescent="0.2">
      <c r="A153" s="34" t="s">
        <v>644</v>
      </c>
      <c r="B153" s="1" t="s">
        <v>6</v>
      </c>
      <c r="C153" s="1" t="s">
        <v>499</v>
      </c>
      <c r="D153" s="5" t="s">
        <v>110</v>
      </c>
      <c r="E153" s="23">
        <f>8.42-0.356-0.364-0.36-1.424-0.722-0.358-0.346-0.35</f>
        <v>4.1400000000000015</v>
      </c>
    </row>
    <row r="154" spans="1:5" ht="42.75" x14ac:dyDescent="0.2">
      <c r="A154" s="34" t="s">
        <v>644</v>
      </c>
      <c r="B154" s="1" t="s">
        <v>6</v>
      </c>
      <c r="C154" s="1" t="s">
        <v>499</v>
      </c>
      <c r="D154" s="5" t="s">
        <v>601</v>
      </c>
      <c r="E154" s="23">
        <f>0.35-0.03</f>
        <v>0.31999999999999995</v>
      </c>
    </row>
    <row r="155" spans="1:5" ht="42.75" x14ac:dyDescent="0.2">
      <c r="A155" s="34" t="s">
        <v>644</v>
      </c>
      <c r="B155" s="1" t="s">
        <v>6</v>
      </c>
      <c r="C155" s="5" t="s">
        <v>153</v>
      </c>
      <c r="D155" s="5" t="s">
        <v>464</v>
      </c>
      <c r="E155" s="23">
        <f>0.345-0.095-0.114-0.03-0.028-0.03-0.015+0.001-0.016</f>
        <v>1.799999999999996E-2</v>
      </c>
    </row>
    <row r="156" spans="1:5" ht="42.75" x14ac:dyDescent="0.2">
      <c r="A156" s="34" t="s">
        <v>644</v>
      </c>
      <c r="B156" s="2" t="s">
        <v>6</v>
      </c>
      <c r="C156" s="1" t="s">
        <v>499</v>
      </c>
      <c r="D156" s="5" t="s">
        <v>190</v>
      </c>
      <c r="E156" s="23">
        <f>0.43-0.09-0.072-0.218</f>
        <v>4.9999999999999961E-2</v>
      </c>
    </row>
    <row r="157" spans="1:5" ht="42.75" x14ac:dyDescent="0.2">
      <c r="A157" s="34" t="s">
        <v>644</v>
      </c>
      <c r="B157" s="2" t="s">
        <v>6</v>
      </c>
      <c r="C157" s="1" t="s">
        <v>531</v>
      </c>
      <c r="D157" s="5" t="s">
        <v>56</v>
      </c>
      <c r="E157" s="23">
        <f>8.69-0.438</f>
        <v>8.2519999999999989</v>
      </c>
    </row>
    <row r="158" spans="1:5" ht="42.75" x14ac:dyDescent="0.2">
      <c r="A158" s="34" t="s">
        <v>644</v>
      </c>
      <c r="B158" s="2" t="s">
        <v>6</v>
      </c>
      <c r="C158" s="1" t="s">
        <v>531</v>
      </c>
      <c r="D158" s="5" t="s">
        <v>498</v>
      </c>
      <c r="E158" s="25">
        <f>0.48</f>
        <v>0.48</v>
      </c>
    </row>
    <row r="159" spans="1:5" ht="42.75" x14ac:dyDescent="0.2">
      <c r="A159" s="34" t="s">
        <v>644</v>
      </c>
      <c r="B159" s="2" t="s">
        <v>6</v>
      </c>
      <c r="C159" s="1" t="s">
        <v>531</v>
      </c>
      <c r="D159" s="5" t="s">
        <v>59</v>
      </c>
      <c r="E159" s="25">
        <f>3.4</f>
        <v>3.4</v>
      </c>
    </row>
    <row r="160" spans="1:5" ht="42.75" x14ac:dyDescent="0.2">
      <c r="A160" s="34" t="s">
        <v>644</v>
      </c>
      <c r="B160" s="2" t="s">
        <v>6</v>
      </c>
      <c r="C160" s="1" t="s">
        <v>499</v>
      </c>
      <c r="D160" s="5" t="s">
        <v>446</v>
      </c>
      <c r="E160" s="23">
        <f>3.43-0.565-1.71-0.574-0.238-0.011-0.025-0.001</f>
        <v>0.30600000000000027</v>
      </c>
    </row>
    <row r="161" spans="1:5" ht="42.75" x14ac:dyDescent="0.2">
      <c r="A161" s="34" t="s">
        <v>644</v>
      </c>
      <c r="B161" s="2" t="s">
        <v>6</v>
      </c>
      <c r="C161" s="12" t="s">
        <v>500</v>
      </c>
      <c r="D161" s="5" t="s">
        <v>123</v>
      </c>
      <c r="E161" s="23">
        <f>0.55</f>
        <v>0.55000000000000004</v>
      </c>
    </row>
    <row r="162" spans="1:5" ht="42.75" x14ac:dyDescent="0.2">
      <c r="A162" s="34" t="s">
        <v>644</v>
      </c>
      <c r="B162" s="2" t="s">
        <v>6</v>
      </c>
      <c r="C162" s="1" t="s">
        <v>499</v>
      </c>
      <c r="D162" s="5" t="s">
        <v>27</v>
      </c>
      <c r="E162" s="23">
        <f>3.93-1.132-0.556-1.132</f>
        <v>1.1100000000000001</v>
      </c>
    </row>
    <row r="163" spans="1:5" ht="42.75" x14ac:dyDescent="0.2">
      <c r="A163" s="34" t="s">
        <v>644</v>
      </c>
      <c r="B163" s="2" t="s">
        <v>6</v>
      </c>
      <c r="C163" s="12" t="s">
        <v>501</v>
      </c>
      <c r="D163" s="5" t="s">
        <v>27</v>
      </c>
      <c r="E163" s="23">
        <f>10.2-1.126-0.574-0.563-0.574-0.574</f>
        <v>6.7890000000000006</v>
      </c>
    </row>
    <row r="164" spans="1:5" ht="42.75" x14ac:dyDescent="0.2">
      <c r="A164" s="34" t="s">
        <v>644</v>
      </c>
      <c r="B164" s="2" t="s">
        <v>6</v>
      </c>
      <c r="C164" s="12" t="s">
        <v>502</v>
      </c>
      <c r="D164" s="5" t="s">
        <v>164</v>
      </c>
      <c r="E164" s="23">
        <f>0.965-0.39-0.198</f>
        <v>0.37699999999999995</v>
      </c>
    </row>
    <row r="165" spans="1:5" ht="42.75" x14ac:dyDescent="0.2">
      <c r="A165" s="34" t="s">
        <v>644</v>
      </c>
      <c r="B165" s="2" t="s">
        <v>6</v>
      </c>
      <c r="C165" s="12" t="s">
        <v>496</v>
      </c>
      <c r="D165" s="9" t="s">
        <v>602</v>
      </c>
      <c r="E165" s="24">
        <f>0.7-0.33</f>
        <v>0.36999999999999994</v>
      </c>
    </row>
    <row r="166" spans="1:5" ht="42.75" x14ac:dyDescent="0.2">
      <c r="A166" s="34" t="s">
        <v>644</v>
      </c>
      <c r="B166" s="2" t="s">
        <v>6</v>
      </c>
      <c r="C166" s="12" t="s">
        <v>496</v>
      </c>
      <c r="D166" s="9" t="s">
        <v>497</v>
      </c>
      <c r="E166" s="24">
        <f>0.69</f>
        <v>0.69</v>
      </c>
    </row>
    <row r="167" spans="1:5" ht="42.75" x14ac:dyDescent="0.2">
      <c r="A167" s="34" t="s">
        <v>644</v>
      </c>
      <c r="B167" s="2" t="s">
        <v>6</v>
      </c>
      <c r="C167" s="12" t="s">
        <v>267</v>
      </c>
      <c r="D167" s="5" t="s">
        <v>465</v>
      </c>
      <c r="E167" s="25">
        <f>2.556-1.67-0.14-0.04-0.424-0.144-0.034-0.004</f>
        <v>0.10000000000000009</v>
      </c>
    </row>
    <row r="168" spans="1:5" ht="42.75" x14ac:dyDescent="0.2">
      <c r="A168" s="34" t="s">
        <v>644</v>
      </c>
      <c r="B168" s="2" t="s">
        <v>6</v>
      </c>
      <c r="C168" s="12" t="s">
        <v>267</v>
      </c>
      <c r="D168" s="5" t="s">
        <v>463</v>
      </c>
      <c r="E168" s="25">
        <f>2.556-1.695-0.426-0.017</f>
        <v>0.41799999999999998</v>
      </c>
    </row>
    <row r="169" spans="1:5" ht="42.75" x14ac:dyDescent="0.2">
      <c r="A169" s="34" t="s">
        <v>644</v>
      </c>
      <c r="B169" s="2" t="s">
        <v>6</v>
      </c>
      <c r="C169" s="1" t="s">
        <v>499</v>
      </c>
      <c r="D169" s="5" t="s">
        <v>330</v>
      </c>
      <c r="E169" s="25">
        <f>2.664-1.776</f>
        <v>0.88800000000000012</v>
      </c>
    </row>
    <row r="170" spans="1:5" ht="42.75" x14ac:dyDescent="0.2">
      <c r="A170" s="34" t="s">
        <v>644</v>
      </c>
      <c r="B170" s="2" t="s">
        <v>6</v>
      </c>
      <c r="C170" s="12" t="s">
        <v>267</v>
      </c>
      <c r="D170" s="5" t="s">
        <v>466</v>
      </c>
      <c r="E170" s="23">
        <f>0.91-0.082-0.026-0.196-0.082-0.044-0.002</f>
        <v>0.47800000000000015</v>
      </c>
    </row>
    <row r="171" spans="1:5" ht="42.75" x14ac:dyDescent="0.2">
      <c r="A171" s="34" t="s">
        <v>644</v>
      </c>
      <c r="B171" s="2" t="s">
        <v>6</v>
      </c>
      <c r="C171" s="12" t="s">
        <v>267</v>
      </c>
      <c r="D171" s="5" t="s">
        <v>80</v>
      </c>
      <c r="E171" s="23">
        <f>2.982-0.968</f>
        <v>2.0140000000000002</v>
      </c>
    </row>
    <row r="172" spans="1:5" ht="42.75" x14ac:dyDescent="0.2">
      <c r="A172" s="34" t="s">
        <v>644</v>
      </c>
      <c r="B172" s="2" t="s">
        <v>6</v>
      </c>
      <c r="C172" s="12" t="s">
        <v>503</v>
      </c>
      <c r="D172" s="5" t="s">
        <v>315</v>
      </c>
      <c r="E172" s="23">
        <f>3.195-2.145-0.046-0.162+0.018-0.11-0.002-0.38+0.004-0.091-0.102-0.001</f>
        <v>0.17799999999999983</v>
      </c>
    </row>
    <row r="173" spans="1:5" ht="42.75" x14ac:dyDescent="0.2">
      <c r="A173" s="34" t="s">
        <v>644</v>
      </c>
      <c r="B173" s="2" t="s">
        <v>6</v>
      </c>
      <c r="C173" s="12" t="s">
        <v>267</v>
      </c>
      <c r="D173" s="5" t="s">
        <v>187</v>
      </c>
      <c r="E173" s="23">
        <f>0.99</f>
        <v>0.99</v>
      </c>
    </row>
    <row r="174" spans="1:5" ht="42.75" x14ac:dyDescent="0.2">
      <c r="A174" s="34" t="s">
        <v>644</v>
      </c>
      <c r="B174" s="2" t="s">
        <v>6</v>
      </c>
      <c r="C174" s="12" t="s">
        <v>267</v>
      </c>
      <c r="D174" s="5" t="s">
        <v>443</v>
      </c>
      <c r="E174" s="23">
        <f>1.056-0.216-0.372</f>
        <v>0.46800000000000008</v>
      </c>
    </row>
    <row r="175" spans="1:5" ht="42.75" x14ac:dyDescent="0.2">
      <c r="A175" s="34" t="s">
        <v>644</v>
      </c>
      <c r="B175" s="2" t="s">
        <v>6</v>
      </c>
      <c r="C175" s="12" t="s">
        <v>267</v>
      </c>
      <c r="D175" s="5" t="s">
        <v>206</v>
      </c>
      <c r="E175" s="25">
        <f>2.57-1.266</f>
        <v>1.3039999999999998</v>
      </c>
    </row>
    <row r="176" spans="1:5" ht="42.75" x14ac:dyDescent="0.2">
      <c r="A176" s="34" t="s">
        <v>644</v>
      </c>
      <c r="B176" s="2" t="s">
        <v>6</v>
      </c>
      <c r="C176" s="12" t="s">
        <v>267</v>
      </c>
      <c r="D176" s="5" t="s">
        <v>474</v>
      </c>
      <c r="E176" s="25">
        <f>1.266-0.528-0.126</f>
        <v>0.61199999999999999</v>
      </c>
    </row>
    <row r="177" spans="1:5" ht="42.75" x14ac:dyDescent="0.2">
      <c r="A177" s="34" t="s">
        <v>644</v>
      </c>
      <c r="B177" s="2" t="s">
        <v>6</v>
      </c>
      <c r="C177" s="12" t="s">
        <v>267</v>
      </c>
      <c r="D177" s="5" t="s">
        <v>489</v>
      </c>
      <c r="E177" s="23">
        <f>1.428-0.228-0.068-0.458-0.118+0.002-0.23-0.002-0.03-0.086</f>
        <v>0.20999999999999994</v>
      </c>
    </row>
    <row r="178" spans="1:5" ht="42.75" x14ac:dyDescent="0.2">
      <c r="A178" s="34" t="s">
        <v>644</v>
      </c>
      <c r="B178" s="2" t="s">
        <v>6</v>
      </c>
      <c r="C178" s="12" t="s">
        <v>506</v>
      </c>
      <c r="D178" s="5" t="s">
        <v>557</v>
      </c>
      <c r="E178" s="23">
        <f>2.856-1.428-0.154-0.016-0.191+0.003-0.592-0.002-0.072-0.002</f>
        <v>0.40199999999999986</v>
      </c>
    </row>
    <row r="179" spans="1:5" ht="42.75" x14ac:dyDescent="0.2">
      <c r="A179" s="34" t="s">
        <v>644</v>
      </c>
      <c r="B179" s="2" t="s">
        <v>6</v>
      </c>
      <c r="C179" s="12" t="s">
        <v>267</v>
      </c>
      <c r="D179" s="5" t="s">
        <v>583</v>
      </c>
      <c r="E179" s="23">
        <f>1.428-0.466-0.018-0.236-0.004-0.286-0.004-0.17-0.002</f>
        <v>0.24199999999999997</v>
      </c>
    </row>
    <row r="180" spans="1:5" ht="42.75" x14ac:dyDescent="0.2">
      <c r="A180" s="34" t="s">
        <v>644</v>
      </c>
      <c r="B180" s="2" t="s">
        <v>6</v>
      </c>
      <c r="C180" s="12" t="s">
        <v>267</v>
      </c>
      <c r="D180" s="5" t="s">
        <v>40</v>
      </c>
      <c r="E180" s="23">
        <f>2.856</f>
        <v>2.8559999999999999</v>
      </c>
    </row>
    <row r="181" spans="1:5" ht="42.75" x14ac:dyDescent="0.2">
      <c r="A181" s="34" t="s">
        <v>644</v>
      </c>
      <c r="B181" s="2" t="s">
        <v>6</v>
      </c>
      <c r="C181" s="12" t="s">
        <v>267</v>
      </c>
      <c r="D181" s="5" t="s">
        <v>61</v>
      </c>
      <c r="E181" s="23">
        <f>3.142-1.534</f>
        <v>1.6079999999999999</v>
      </c>
    </row>
    <row r="182" spans="1:5" ht="42.75" x14ac:dyDescent="0.2">
      <c r="A182" s="34" t="s">
        <v>644</v>
      </c>
      <c r="B182" s="2" t="s">
        <v>6</v>
      </c>
      <c r="C182" s="12" t="s">
        <v>267</v>
      </c>
      <c r="D182" s="5" t="s">
        <v>459</v>
      </c>
      <c r="E182" s="23">
        <f>1.534-1.042</f>
        <v>0.49199999999999999</v>
      </c>
    </row>
    <row r="183" spans="1:5" ht="42.75" x14ac:dyDescent="0.2">
      <c r="A183" s="34" t="s">
        <v>644</v>
      </c>
      <c r="B183" s="2" t="s">
        <v>6</v>
      </c>
      <c r="C183" s="12" t="s">
        <v>267</v>
      </c>
      <c r="D183" s="5" t="s">
        <v>492</v>
      </c>
      <c r="E183" s="25">
        <f>3.57-1.762-0.12-0.044-0.12-0.042-0.476-0.002-0.15-0.002</f>
        <v>0.85199999999999954</v>
      </c>
    </row>
    <row r="184" spans="1:5" ht="42.75" x14ac:dyDescent="0.2">
      <c r="A184" s="34" t="s">
        <v>644</v>
      </c>
      <c r="B184" s="2" t="s">
        <v>6</v>
      </c>
      <c r="C184" s="12" t="s">
        <v>267</v>
      </c>
      <c r="D184" s="5" t="s">
        <v>119</v>
      </c>
      <c r="E184" s="25">
        <f>3.57</f>
        <v>3.57</v>
      </c>
    </row>
    <row r="185" spans="1:5" ht="42.75" x14ac:dyDescent="0.2">
      <c r="A185" s="34" t="s">
        <v>644</v>
      </c>
      <c r="B185" s="2" t="s">
        <v>6</v>
      </c>
      <c r="C185" s="12" t="s">
        <v>504</v>
      </c>
      <c r="D185" s="5" t="s">
        <v>580</v>
      </c>
      <c r="E185" s="23">
        <f>2.07-0.09+0.03-0.924+0.002-0.214-0.088-0.004</f>
        <v>0.78199999999999992</v>
      </c>
    </row>
    <row r="186" spans="1:5" ht="42.75" x14ac:dyDescent="0.2">
      <c r="A186" s="34" t="s">
        <v>644</v>
      </c>
      <c r="B186" s="2" t="s">
        <v>6</v>
      </c>
      <c r="C186" s="12" t="s">
        <v>505</v>
      </c>
      <c r="D186" s="12" t="s">
        <v>584</v>
      </c>
      <c r="E186" s="23">
        <f>2.142-1.052-0.038-0.404-0.18-0.002-0.036-0.002-0.258-0.002</f>
        <v>0.16799999999999982</v>
      </c>
    </row>
    <row r="187" spans="1:5" ht="42.75" x14ac:dyDescent="0.2">
      <c r="A187" s="34" t="s">
        <v>644</v>
      </c>
      <c r="B187" s="2" t="s">
        <v>6</v>
      </c>
      <c r="C187" s="12" t="s">
        <v>267</v>
      </c>
      <c r="D187" s="5" t="s">
        <v>431</v>
      </c>
      <c r="E187" s="23">
        <f>4.284-2.142-1.042-0.062</f>
        <v>1.0379999999999998</v>
      </c>
    </row>
    <row r="188" spans="1:5" ht="42.75" x14ac:dyDescent="0.2">
      <c r="A188" s="34" t="s">
        <v>644</v>
      </c>
      <c r="B188" s="2" t="s">
        <v>6</v>
      </c>
      <c r="C188" s="12" t="s">
        <v>267</v>
      </c>
      <c r="D188" s="5" t="s">
        <v>69</v>
      </c>
      <c r="E188" s="23">
        <f>4.284</f>
        <v>4.2839999999999998</v>
      </c>
    </row>
    <row r="189" spans="1:5" ht="42.75" x14ac:dyDescent="0.2">
      <c r="A189" s="34" t="s">
        <v>644</v>
      </c>
      <c r="B189" s="2" t="s">
        <v>6</v>
      </c>
      <c r="C189" s="12" t="s">
        <v>267</v>
      </c>
      <c r="D189" s="5" t="s">
        <v>585</v>
      </c>
      <c r="E189" s="23">
        <f>2.57-0.428-0.022-0.43+0.002-0.172-0.114-0.216-0.002-0.45-0.002-0.044-0.002-0.052-0.054-0.076-0.004-0.312-0.002</f>
        <v>0.19000000000000011</v>
      </c>
    </row>
    <row r="190" spans="1:5" ht="42.75" x14ac:dyDescent="0.2">
      <c r="A190" s="34" t="s">
        <v>644</v>
      </c>
      <c r="B190" s="2" t="s">
        <v>6</v>
      </c>
      <c r="C190" s="12" t="s">
        <v>267</v>
      </c>
      <c r="D190" s="5" t="s">
        <v>118</v>
      </c>
      <c r="E190" s="25">
        <f>2.57</f>
        <v>2.57</v>
      </c>
    </row>
    <row r="191" spans="1:5" ht="42.75" x14ac:dyDescent="0.2">
      <c r="A191" s="34" t="s">
        <v>644</v>
      </c>
      <c r="B191" s="2" t="s">
        <v>6</v>
      </c>
      <c r="C191" s="12" t="s">
        <v>267</v>
      </c>
      <c r="D191" s="5" t="s">
        <v>467</v>
      </c>
      <c r="E191" s="23">
        <f>2.855-0.492+0.007-0.396-0.004-0.958+0.004-0.386-0.004-0.068-0.01</f>
        <v>0.54800000000000026</v>
      </c>
    </row>
    <row r="192" spans="1:5" ht="42.75" x14ac:dyDescent="0.2">
      <c r="A192" s="34" t="s">
        <v>644</v>
      </c>
      <c r="B192" s="2" t="s">
        <v>6</v>
      </c>
      <c r="C192" s="12" t="s">
        <v>504</v>
      </c>
      <c r="D192" s="5" t="s">
        <v>586</v>
      </c>
      <c r="E192" s="23">
        <f>2.855-0.202-0.047-0.2-0.004-0.292-0.002-1.442-0.002-0.342-0.002</f>
        <v>0.32000000000000012</v>
      </c>
    </row>
    <row r="193" spans="1:5" ht="42.75" x14ac:dyDescent="0.2">
      <c r="A193" s="34" t="s">
        <v>644</v>
      </c>
      <c r="B193" s="2" t="s">
        <v>6</v>
      </c>
      <c r="C193" s="12" t="s">
        <v>267</v>
      </c>
      <c r="D193" s="5" t="s">
        <v>581</v>
      </c>
      <c r="E193" s="23">
        <f>2.95-1.434-0.078</f>
        <v>1.4380000000000002</v>
      </c>
    </row>
    <row r="194" spans="1:5" ht="42.75" x14ac:dyDescent="0.2">
      <c r="A194" s="34" t="s">
        <v>644</v>
      </c>
      <c r="B194" s="2" t="s">
        <v>6</v>
      </c>
      <c r="C194" s="12" t="s">
        <v>267</v>
      </c>
      <c r="D194" s="5" t="s">
        <v>177</v>
      </c>
      <c r="E194" s="23">
        <f>7.16-3.708-2.112+0.006</f>
        <v>1.3459999999999999</v>
      </c>
    </row>
    <row r="195" spans="1:5" ht="42.75" x14ac:dyDescent="0.2">
      <c r="A195" s="34" t="s">
        <v>644</v>
      </c>
      <c r="B195" s="2" t="s">
        <v>6</v>
      </c>
      <c r="C195" s="12" t="s">
        <v>267</v>
      </c>
      <c r="D195" s="5" t="s">
        <v>468</v>
      </c>
      <c r="E195" s="23">
        <f>3.708-0.33-0.648-1.734-0.012-0.476-0.116-0.01</f>
        <v>0.38200000000000001</v>
      </c>
    </row>
    <row r="196" spans="1:5" ht="42.75" x14ac:dyDescent="0.2">
      <c r="A196" s="34" t="s">
        <v>644</v>
      </c>
      <c r="B196" s="2" t="s">
        <v>6</v>
      </c>
      <c r="C196" s="12" t="s">
        <v>504</v>
      </c>
      <c r="D196" s="5" t="s">
        <v>545</v>
      </c>
      <c r="E196" s="23">
        <f>4.41-2.12-0.154-0.292-0.004-1.066-0.326-0.002</f>
        <v>0.44600000000000001</v>
      </c>
    </row>
    <row r="197" spans="1:5" ht="42.75" x14ac:dyDescent="0.2">
      <c r="A197" s="34" t="s">
        <v>644</v>
      </c>
      <c r="B197" s="2" t="s">
        <v>6</v>
      </c>
      <c r="C197" s="5" t="s">
        <v>507</v>
      </c>
      <c r="D197" s="5" t="s">
        <v>397</v>
      </c>
      <c r="E197" s="23">
        <f>3.07-0.246+0.04-1.07-0.004-0.498</f>
        <v>1.2919999999999998</v>
      </c>
    </row>
    <row r="198" spans="1:5" ht="42.75" x14ac:dyDescent="0.2">
      <c r="A198" s="34" t="s">
        <v>644</v>
      </c>
      <c r="B198" s="2" t="s">
        <v>6</v>
      </c>
      <c r="C198" s="5" t="s">
        <v>508</v>
      </c>
      <c r="D198" s="5" t="s">
        <v>309</v>
      </c>
      <c r="E198" s="23">
        <f>4.555+0.155-0.68-2.216-0.004-0.422-0.004-1.012-0.004</f>
        <v>0.3680000000000001</v>
      </c>
    </row>
    <row r="199" spans="1:5" ht="42.75" x14ac:dyDescent="0.2">
      <c r="A199" s="34" t="s">
        <v>644</v>
      </c>
      <c r="B199" s="2" t="s">
        <v>6</v>
      </c>
      <c r="C199" s="5" t="s">
        <v>332</v>
      </c>
      <c r="D199" s="5" t="s">
        <v>469</v>
      </c>
      <c r="E199" s="23">
        <f>4.87-3.134-0.046-0.988-0.16-0.024</f>
        <v>0.51800000000000013</v>
      </c>
    </row>
    <row r="200" spans="1:5" ht="42.75" x14ac:dyDescent="0.2">
      <c r="A200" s="34" t="s">
        <v>644</v>
      </c>
      <c r="B200" s="2" t="s">
        <v>6</v>
      </c>
      <c r="C200" s="5" t="s">
        <v>332</v>
      </c>
      <c r="D200" s="5" t="s">
        <v>555</v>
      </c>
      <c r="E200" s="23">
        <f>4.82-0.986</f>
        <v>3.8340000000000005</v>
      </c>
    </row>
    <row r="201" spans="1:5" ht="42.75" x14ac:dyDescent="0.2">
      <c r="A201" s="34" t="s">
        <v>644</v>
      </c>
      <c r="B201" s="2" t="s">
        <v>6</v>
      </c>
      <c r="C201" s="5" t="s">
        <v>332</v>
      </c>
      <c r="D201" s="5" t="s">
        <v>470</v>
      </c>
      <c r="E201" s="25">
        <f>4.59-0.906</f>
        <v>3.6839999999999997</v>
      </c>
    </row>
    <row r="202" spans="1:5" ht="42.75" x14ac:dyDescent="0.2">
      <c r="A202" s="34" t="s">
        <v>644</v>
      </c>
      <c r="B202" s="2" t="s">
        <v>6</v>
      </c>
      <c r="C202" s="5" t="s">
        <v>432</v>
      </c>
      <c r="D202" s="5" t="s">
        <v>556</v>
      </c>
      <c r="E202" s="25">
        <f>4.68-0.638+0.02-1.858</f>
        <v>2.2039999999999993</v>
      </c>
    </row>
    <row r="203" spans="1:5" ht="42.75" x14ac:dyDescent="0.2">
      <c r="A203" s="34" t="s">
        <v>644</v>
      </c>
      <c r="B203" s="2" t="s">
        <v>6</v>
      </c>
      <c r="C203" s="5" t="s">
        <v>507</v>
      </c>
      <c r="D203" s="5" t="s">
        <v>388</v>
      </c>
      <c r="E203" s="23">
        <f>4.63-2.98+0.032</f>
        <v>1.6819999999999999</v>
      </c>
    </row>
    <row r="204" spans="1:5" ht="42.75" x14ac:dyDescent="0.2">
      <c r="A204" s="34" t="s">
        <v>644</v>
      </c>
      <c r="B204" s="2" t="s">
        <v>6</v>
      </c>
      <c r="C204" s="5" t="s">
        <v>405</v>
      </c>
      <c r="D204" s="5" t="s">
        <v>406</v>
      </c>
      <c r="E204" s="23">
        <f>4.61</f>
        <v>4.6100000000000003</v>
      </c>
    </row>
    <row r="205" spans="1:5" ht="42.75" x14ac:dyDescent="0.2">
      <c r="A205" s="34" t="s">
        <v>644</v>
      </c>
      <c r="B205" s="16" t="s">
        <v>218</v>
      </c>
      <c r="C205" s="12" t="s">
        <v>227</v>
      </c>
      <c r="D205" s="16" t="s">
        <v>442</v>
      </c>
      <c r="E205" s="20">
        <f>2.856-1.408-0.47-0.032</f>
        <v>0.94599999999999995</v>
      </c>
    </row>
    <row r="206" spans="1:5" ht="42.75" x14ac:dyDescent="0.2">
      <c r="A206" s="34" t="s">
        <v>644</v>
      </c>
      <c r="B206" s="16" t="s">
        <v>218</v>
      </c>
      <c r="C206" s="12" t="s">
        <v>227</v>
      </c>
      <c r="D206" s="16" t="s">
        <v>542</v>
      </c>
      <c r="E206" s="20">
        <f>4.52-2.97-0.044</f>
        <v>1.5059999999999993</v>
      </c>
    </row>
    <row r="207" spans="1:5" ht="42.75" x14ac:dyDescent="0.2">
      <c r="A207" s="34" t="s">
        <v>644</v>
      </c>
      <c r="B207" s="16" t="s">
        <v>272</v>
      </c>
      <c r="C207" s="12" t="s">
        <v>227</v>
      </c>
      <c r="D207" s="16" t="s">
        <v>223</v>
      </c>
      <c r="E207" s="20">
        <f>24.13-12.085-6.025</f>
        <v>6.0199999999999978</v>
      </c>
    </row>
    <row r="208" spans="1:5" ht="42.75" x14ac:dyDescent="0.2">
      <c r="A208" s="34" t="s">
        <v>644</v>
      </c>
      <c r="B208" s="16" t="s">
        <v>272</v>
      </c>
      <c r="C208" s="12" t="s">
        <v>227</v>
      </c>
      <c r="D208" s="16" t="s">
        <v>271</v>
      </c>
      <c r="E208" s="20">
        <f>6.025-1.014</f>
        <v>5.0110000000000001</v>
      </c>
    </row>
    <row r="209" spans="1:5" ht="42.75" x14ac:dyDescent="0.2">
      <c r="A209" s="34" t="s">
        <v>644</v>
      </c>
      <c r="B209" s="16" t="s">
        <v>272</v>
      </c>
      <c r="C209" s="12" t="s">
        <v>227</v>
      </c>
      <c r="D209" s="16" t="s">
        <v>270</v>
      </c>
      <c r="E209" s="20">
        <v>1.014</v>
      </c>
    </row>
    <row r="210" spans="1:5" ht="42.75" x14ac:dyDescent="0.2">
      <c r="A210" s="34" t="s">
        <v>644</v>
      </c>
      <c r="B210" s="12" t="s">
        <v>28</v>
      </c>
      <c r="C210" s="12" t="s">
        <v>107</v>
      </c>
      <c r="D210" s="5" t="s">
        <v>537</v>
      </c>
      <c r="E210" s="25">
        <f>5.688-3.8-0.944</f>
        <v>0.94399999999999995</v>
      </c>
    </row>
    <row r="211" spans="1:5" ht="42.75" x14ac:dyDescent="0.2">
      <c r="A211" s="34" t="s">
        <v>644</v>
      </c>
      <c r="B211" s="12" t="s">
        <v>28</v>
      </c>
      <c r="C211" s="12" t="s">
        <v>107</v>
      </c>
      <c r="D211" s="5" t="s">
        <v>629</v>
      </c>
      <c r="E211" s="25">
        <f>0.944-0.35</f>
        <v>0.59399999999999997</v>
      </c>
    </row>
    <row r="212" spans="1:5" ht="42.75" x14ac:dyDescent="0.2">
      <c r="A212" s="34" t="s">
        <v>644</v>
      </c>
      <c r="B212" s="12" t="s">
        <v>28</v>
      </c>
      <c r="C212" s="12" t="s">
        <v>107</v>
      </c>
      <c r="D212" s="5" t="s">
        <v>215</v>
      </c>
      <c r="E212" s="25">
        <f>2.556-1.664-0.096-0.064</f>
        <v>0.73200000000000021</v>
      </c>
    </row>
    <row r="213" spans="1:5" ht="42.75" x14ac:dyDescent="0.2">
      <c r="A213" s="34" t="s">
        <v>644</v>
      </c>
      <c r="B213" s="12" t="s">
        <v>28</v>
      </c>
      <c r="C213" s="12" t="s">
        <v>107</v>
      </c>
      <c r="D213" s="5" t="s">
        <v>377</v>
      </c>
      <c r="E213" s="25">
        <f>1.428-0.328-0.07-0.024-0.25-0.004-0.108-0.108+0.002-0.464-0.004</f>
        <v>6.9999999999999785E-2</v>
      </c>
    </row>
    <row r="214" spans="1:5" ht="42.75" x14ac:dyDescent="0.2">
      <c r="A214" s="34" t="s">
        <v>644</v>
      </c>
      <c r="B214" s="12" t="s">
        <v>28</v>
      </c>
      <c r="C214" s="12" t="s">
        <v>107</v>
      </c>
      <c r="D214" s="5" t="s">
        <v>630</v>
      </c>
      <c r="E214" s="25">
        <f>1.9-0.51-0.952</f>
        <v>0.43799999999999994</v>
      </c>
    </row>
    <row r="215" spans="1:5" ht="42.75" x14ac:dyDescent="0.2">
      <c r="A215" s="34" t="s">
        <v>644</v>
      </c>
      <c r="B215" s="1" t="s">
        <v>28</v>
      </c>
      <c r="C215" s="2" t="s">
        <v>243</v>
      </c>
      <c r="D215" s="12" t="s">
        <v>461</v>
      </c>
      <c r="E215" s="22">
        <f>5.7-2.758-0.236-0.16-1.164-0.284</f>
        <v>1.0980000000000003</v>
      </c>
    </row>
    <row r="216" spans="1:5" ht="42.75" x14ac:dyDescent="0.2">
      <c r="A216" s="34" t="s">
        <v>644</v>
      </c>
      <c r="B216" s="1" t="s">
        <v>28</v>
      </c>
      <c r="C216" s="2" t="s">
        <v>226</v>
      </c>
      <c r="D216" s="12" t="s">
        <v>344</v>
      </c>
      <c r="E216" s="22">
        <f>0.072</f>
        <v>7.1999999999999995E-2</v>
      </c>
    </row>
    <row r="217" spans="1:5" ht="42.75" x14ac:dyDescent="0.2">
      <c r="A217" s="34" t="s">
        <v>644</v>
      </c>
      <c r="B217" s="1" t="s">
        <v>28</v>
      </c>
      <c r="C217" s="2" t="s">
        <v>226</v>
      </c>
      <c r="D217" s="12" t="s">
        <v>457</v>
      </c>
      <c r="E217" s="22">
        <f>0.04</f>
        <v>0.04</v>
      </c>
    </row>
    <row r="218" spans="1:5" ht="42.75" x14ac:dyDescent="0.2">
      <c r="A218" s="34" t="s">
        <v>644</v>
      </c>
      <c r="B218" s="1" t="s">
        <v>28</v>
      </c>
      <c r="C218" s="2" t="s">
        <v>243</v>
      </c>
      <c r="D218" s="12" t="s">
        <v>631</v>
      </c>
      <c r="E218" s="22">
        <f>17.488-8.78-0.168-0.138-0.1-0.127</f>
        <v>8.1750000000000007</v>
      </c>
    </row>
    <row r="219" spans="1:5" ht="42.75" x14ac:dyDescent="0.2">
      <c r="A219" s="34" t="s">
        <v>644</v>
      </c>
      <c r="B219" s="10" t="s">
        <v>29</v>
      </c>
      <c r="C219" s="10" t="s">
        <v>360</v>
      </c>
      <c r="D219" s="16" t="s">
        <v>632</v>
      </c>
      <c r="E219" s="21">
        <f>1.18-0.098-0.04-0.05+0.002-0.573</f>
        <v>0.42099999999999982</v>
      </c>
    </row>
    <row r="220" spans="1:5" ht="42.75" x14ac:dyDescent="0.2">
      <c r="A220" s="34" t="s">
        <v>644</v>
      </c>
      <c r="B220" s="10" t="s">
        <v>29</v>
      </c>
      <c r="C220" s="10" t="s">
        <v>291</v>
      </c>
      <c r="D220" s="16" t="s">
        <v>40</v>
      </c>
      <c r="E220" s="21">
        <f>2.856-1.4</f>
        <v>1.456</v>
      </c>
    </row>
    <row r="221" spans="1:5" ht="42.75" x14ac:dyDescent="0.2">
      <c r="A221" s="34" t="s">
        <v>644</v>
      </c>
      <c r="B221" s="10" t="s">
        <v>29</v>
      </c>
      <c r="C221" s="10" t="s">
        <v>291</v>
      </c>
      <c r="D221" s="16" t="s">
        <v>413</v>
      </c>
      <c r="E221" s="21">
        <f>1.4-0.14-0.078+0.002</f>
        <v>1.1839999999999997</v>
      </c>
    </row>
    <row r="222" spans="1:5" ht="42.75" x14ac:dyDescent="0.2">
      <c r="A222" s="34" t="s">
        <v>644</v>
      </c>
      <c r="B222" s="10" t="s">
        <v>29</v>
      </c>
      <c r="C222" s="10" t="s">
        <v>166</v>
      </c>
      <c r="D222" s="16" t="s">
        <v>357</v>
      </c>
      <c r="E222" s="20">
        <f>3.57-1.708-0.97-0.15-0.086-0.002-0.145-0.001</f>
        <v>0.5079999999999999</v>
      </c>
    </row>
    <row r="223" spans="1:5" ht="42.75" x14ac:dyDescent="0.2">
      <c r="A223" s="34" t="s">
        <v>644</v>
      </c>
      <c r="B223" s="10" t="s">
        <v>29</v>
      </c>
      <c r="C223" s="10" t="s">
        <v>166</v>
      </c>
      <c r="D223" s="16" t="s">
        <v>310</v>
      </c>
      <c r="E223" s="20">
        <f>2.106-1.008-0.364+0.006</f>
        <v>0.73999999999999988</v>
      </c>
    </row>
    <row r="224" spans="1:5" ht="42.75" x14ac:dyDescent="0.2">
      <c r="A224" s="34" t="s">
        <v>644</v>
      </c>
      <c r="B224" s="10" t="s">
        <v>29</v>
      </c>
      <c r="C224" s="10" t="s">
        <v>241</v>
      </c>
      <c r="D224" s="16" t="s">
        <v>338</v>
      </c>
      <c r="E224" s="21">
        <f>2.09-1.29-0.106-0.002</f>
        <v>0.69199999999999984</v>
      </c>
    </row>
    <row r="225" spans="1:5" ht="42.75" x14ac:dyDescent="0.2">
      <c r="A225" s="34" t="s">
        <v>644</v>
      </c>
      <c r="B225" s="10" t="s">
        <v>29</v>
      </c>
      <c r="C225" s="10" t="s">
        <v>291</v>
      </c>
      <c r="D225" s="16" t="s">
        <v>415</v>
      </c>
      <c r="E225" s="21">
        <f>2.855-0.118-0.083-0.232-0.002</f>
        <v>2.42</v>
      </c>
    </row>
    <row r="226" spans="1:5" ht="42.75" x14ac:dyDescent="0.2">
      <c r="A226" s="34" t="s">
        <v>644</v>
      </c>
      <c r="B226" s="10" t="s">
        <v>29</v>
      </c>
      <c r="C226" s="10" t="s">
        <v>166</v>
      </c>
      <c r="D226" s="16" t="s">
        <v>633</v>
      </c>
      <c r="E226" s="20">
        <f>3.212-0.546+0.008-0.27-1.621</f>
        <v>0.78300000000000036</v>
      </c>
    </row>
    <row r="227" spans="1:5" ht="42.75" x14ac:dyDescent="0.2">
      <c r="A227" s="34" t="s">
        <v>644</v>
      </c>
      <c r="B227" s="10" t="s">
        <v>29</v>
      </c>
      <c r="C227" s="10" t="s">
        <v>362</v>
      </c>
      <c r="D227" s="16" t="s">
        <v>634</v>
      </c>
      <c r="E227" s="21">
        <f>4.387-0.194+0.131-1.872-0.006-2.19</f>
        <v>0.25600000000000023</v>
      </c>
    </row>
    <row r="228" spans="1:5" ht="42.75" x14ac:dyDescent="0.2">
      <c r="A228" s="34" t="s">
        <v>644</v>
      </c>
      <c r="B228" s="10" t="s">
        <v>29</v>
      </c>
      <c r="C228" s="10" t="s">
        <v>166</v>
      </c>
      <c r="D228" s="16" t="s">
        <v>416</v>
      </c>
      <c r="E228" s="20">
        <f>3.009-0.428-0.001-1.182+0.002-0.212-0.004</f>
        <v>1.1840000000000002</v>
      </c>
    </row>
    <row r="229" spans="1:5" ht="42.75" x14ac:dyDescent="0.2">
      <c r="A229" s="34" t="s">
        <v>644</v>
      </c>
      <c r="B229" s="10" t="s">
        <v>29</v>
      </c>
      <c r="C229" s="10" t="s">
        <v>166</v>
      </c>
      <c r="D229" s="16" t="s">
        <v>358</v>
      </c>
      <c r="E229" s="20">
        <f>4.74-2.108+0.02-0.612</f>
        <v>2.04</v>
      </c>
    </row>
    <row r="230" spans="1:5" ht="42.75" x14ac:dyDescent="0.2">
      <c r="A230" s="34" t="s">
        <v>644</v>
      </c>
      <c r="B230" s="10" t="s">
        <v>29</v>
      </c>
      <c r="C230" s="10" t="s">
        <v>360</v>
      </c>
      <c r="D230" s="16" t="s">
        <v>553</v>
      </c>
      <c r="E230" s="20">
        <f>6.109-3.736+0.121</f>
        <v>2.4939999999999998</v>
      </c>
    </row>
    <row r="231" spans="1:5" ht="42.75" x14ac:dyDescent="0.2">
      <c r="A231" s="34" t="s">
        <v>644</v>
      </c>
      <c r="B231" s="1" t="s">
        <v>17</v>
      </c>
      <c r="C231" s="2" t="s">
        <v>14</v>
      </c>
      <c r="D231" s="5" t="s">
        <v>414</v>
      </c>
      <c r="E231" s="23">
        <f>1.704-1.125-0.288-0.217-0.002</f>
        <v>7.1999999999999981E-2</v>
      </c>
    </row>
    <row r="232" spans="1:5" ht="42.75" x14ac:dyDescent="0.2">
      <c r="A232" s="34" t="s">
        <v>644</v>
      </c>
      <c r="B232" s="1" t="s">
        <v>17</v>
      </c>
      <c r="C232" s="2" t="s">
        <v>14</v>
      </c>
      <c r="D232" s="5" t="s">
        <v>396</v>
      </c>
      <c r="E232" s="23">
        <f>0.288-0.016-0.07</f>
        <v>0.20199999999999996</v>
      </c>
    </row>
    <row r="233" spans="1:5" ht="42.75" x14ac:dyDescent="0.2">
      <c r="A233" s="34" t="s">
        <v>644</v>
      </c>
      <c r="B233" s="1" t="s">
        <v>17</v>
      </c>
      <c r="C233" s="2" t="s">
        <v>14</v>
      </c>
      <c r="D233" s="5" t="s">
        <v>70</v>
      </c>
      <c r="E233" s="23">
        <f>1.425</f>
        <v>1.425</v>
      </c>
    </row>
    <row r="234" spans="1:5" ht="42.75" x14ac:dyDescent="0.2">
      <c r="A234" s="34" t="s">
        <v>644</v>
      </c>
      <c r="B234" s="1" t="s">
        <v>17</v>
      </c>
      <c r="C234" s="2" t="s">
        <v>14</v>
      </c>
      <c r="D234" s="5" t="s">
        <v>56</v>
      </c>
      <c r="E234" s="23">
        <f>1.64-0.404-0.406</f>
        <v>0.82999999999999974</v>
      </c>
    </row>
    <row r="235" spans="1:5" ht="42.75" x14ac:dyDescent="0.2">
      <c r="A235" s="34" t="s">
        <v>644</v>
      </c>
      <c r="B235" s="1" t="s">
        <v>17</v>
      </c>
      <c r="C235" s="2" t="s">
        <v>14</v>
      </c>
      <c r="D235" s="5" t="s">
        <v>445</v>
      </c>
      <c r="E235" s="23">
        <f>0.406-0.204</f>
        <v>0.20200000000000004</v>
      </c>
    </row>
    <row r="236" spans="1:5" ht="42.75" x14ac:dyDescent="0.2">
      <c r="A236" s="34" t="s">
        <v>644</v>
      </c>
      <c r="B236" s="1" t="s">
        <v>17</v>
      </c>
      <c r="C236" s="2" t="s">
        <v>14</v>
      </c>
      <c r="D236" s="5" t="s">
        <v>635</v>
      </c>
      <c r="E236" s="24">
        <f>0.546-0.028-0.274-0.092-0.064</f>
        <v>8.7999999999999995E-2</v>
      </c>
    </row>
    <row r="237" spans="1:5" ht="42.75" x14ac:dyDescent="0.2">
      <c r="A237" s="34" t="s">
        <v>644</v>
      </c>
      <c r="B237" s="1" t="s">
        <v>17</v>
      </c>
      <c r="C237" s="2" t="s">
        <v>14</v>
      </c>
      <c r="D237" s="5" t="s">
        <v>27</v>
      </c>
      <c r="E237" s="24">
        <f>2.2-0.552</f>
        <v>1.6480000000000001</v>
      </c>
    </row>
    <row r="238" spans="1:5" ht="42.75" x14ac:dyDescent="0.2">
      <c r="A238" s="34" t="s">
        <v>644</v>
      </c>
      <c r="B238" s="1" t="s">
        <v>17</v>
      </c>
      <c r="C238" s="2" t="s">
        <v>14</v>
      </c>
      <c r="D238" s="5" t="s">
        <v>12</v>
      </c>
      <c r="E238" s="24">
        <f>2.725-0.682-0.683</f>
        <v>1.36</v>
      </c>
    </row>
    <row r="239" spans="1:5" ht="42.75" x14ac:dyDescent="0.2">
      <c r="A239" s="34" t="s">
        <v>644</v>
      </c>
      <c r="B239" s="1" t="s">
        <v>17</v>
      </c>
      <c r="C239" s="2" t="s">
        <v>14</v>
      </c>
      <c r="D239" s="5" t="s">
        <v>544</v>
      </c>
      <c r="E239" s="24">
        <f>0.683-0.139-0.341-0.001</f>
        <v>0.20200000000000001</v>
      </c>
    </row>
    <row r="240" spans="1:5" ht="42.75" x14ac:dyDescent="0.2">
      <c r="A240" s="34" t="s">
        <v>644</v>
      </c>
      <c r="B240" s="1" t="s">
        <v>17</v>
      </c>
      <c r="C240" s="2" t="s">
        <v>14</v>
      </c>
      <c r="D240" s="5" t="s">
        <v>407</v>
      </c>
      <c r="E240" s="22">
        <f>0.682-0.232-0.342-0.03</f>
        <v>7.8000000000000042E-2</v>
      </c>
    </row>
    <row r="241" spans="1:5" ht="42.75" x14ac:dyDescent="0.2">
      <c r="A241" s="34" t="s">
        <v>644</v>
      </c>
      <c r="B241" s="1" t="s">
        <v>17</v>
      </c>
      <c r="C241" s="2" t="s">
        <v>14</v>
      </c>
      <c r="D241" s="12" t="s">
        <v>408</v>
      </c>
      <c r="E241" s="23">
        <f>0.822-0.096-0.207+0.001-0.036-0.036-0.002</f>
        <v>0.44600000000000006</v>
      </c>
    </row>
    <row r="242" spans="1:5" ht="42.75" x14ac:dyDescent="0.2">
      <c r="A242" s="34" t="s">
        <v>644</v>
      </c>
      <c r="B242" s="1" t="s">
        <v>17</v>
      </c>
      <c r="C242" s="2" t="s">
        <v>14</v>
      </c>
      <c r="D242" s="12" t="s">
        <v>80</v>
      </c>
      <c r="E242" s="23">
        <f>2.982-0.962-0.96</f>
        <v>1.0600000000000005</v>
      </c>
    </row>
    <row r="243" spans="1:5" ht="42.75" x14ac:dyDescent="0.2">
      <c r="A243" s="34" t="s">
        <v>644</v>
      </c>
      <c r="B243" s="1" t="s">
        <v>17</v>
      </c>
      <c r="C243" s="2" t="s">
        <v>14</v>
      </c>
      <c r="D243" s="12" t="s">
        <v>343</v>
      </c>
      <c r="E243" s="23">
        <f>0.962-0.066-0.05+0.004</f>
        <v>0.84999999999999987</v>
      </c>
    </row>
    <row r="244" spans="1:5" ht="42.75" x14ac:dyDescent="0.2">
      <c r="A244" s="34" t="s">
        <v>644</v>
      </c>
      <c r="B244" s="1" t="s">
        <v>17</v>
      </c>
      <c r="C244" s="2" t="s">
        <v>226</v>
      </c>
      <c r="D244" s="12" t="s">
        <v>511</v>
      </c>
      <c r="E244" s="24">
        <f>3.411-1.135-1.146-0.047-0.098+0.015-0.176-0.004-0.18+0.004-0.47-0.01</f>
        <v>0.16400000000000015</v>
      </c>
    </row>
    <row r="245" spans="1:5" ht="42.75" x14ac:dyDescent="0.2">
      <c r="A245" s="34" t="s">
        <v>644</v>
      </c>
      <c r="B245" s="1" t="s">
        <v>17</v>
      </c>
      <c r="C245" s="2" t="s">
        <v>226</v>
      </c>
      <c r="D245" s="12" t="s">
        <v>570</v>
      </c>
      <c r="E245" s="24">
        <f>2.856-1.428-0.71-0.28-0.356-0.02</f>
        <v>6.1999999999999958E-2</v>
      </c>
    </row>
    <row r="246" spans="1:5" ht="42.75" x14ac:dyDescent="0.2">
      <c r="A246" s="34" t="s">
        <v>644</v>
      </c>
      <c r="B246" s="1" t="s">
        <v>17</v>
      </c>
      <c r="C246" s="2" t="s">
        <v>226</v>
      </c>
      <c r="D246" s="12" t="s">
        <v>473</v>
      </c>
      <c r="E246" s="24">
        <f>3.8-1.9-0.38-0.322-0.01-0.632-0.006</f>
        <v>0.54999999999999993</v>
      </c>
    </row>
    <row r="247" spans="1:5" ht="42.75" x14ac:dyDescent="0.2">
      <c r="A247" s="34" t="s">
        <v>644</v>
      </c>
      <c r="B247" s="1" t="s">
        <v>17</v>
      </c>
      <c r="C247" s="2" t="s">
        <v>226</v>
      </c>
      <c r="D247" s="12" t="s">
        <v>571</v>
      </c>
      <c r="E247" s="24">
        <f>1.743-0.073-0.146-0.07-0.004-0.074-0.002-0.872-0.006-0.438</f>
        <v>5.8000000000000107E-2</v>
      </c>
    </row>
    <row r="248" spans="1:5" ht="42.75" x14ac:dyDescent="0.2">
      <c r="A248" s="34" t="s">
        <v>644</v>
      </c>
      <c r="B248" s="1" t="s">
        <v>17</v>
      </c>
      <c r="C248" s="2" t="s">
        <v>226</v>
      </c>
      <c r="D248" s="12" t="s">
        <v>119</v>
      </c>
      <c r="E248" s="24">
        <f>3.57</f>
        <v>3.57</v>
      </c>
    </row>
    <row r="249" spans="1:5" ht="42.75" x14ac:dyDescent="0.2">
      <c r="A249" s="34" t="s">
        <v>644</v>
      </c>
      <c r="B249" s="1" t="s">
        <v>17</v>
      </c>
      <c r="C249" s="2" t="s">
        <v>14</v>
      </c>
      <c r="D249" s="12" t="s">
        <v>191</v>
      </c>
      <c r="E249" s="22">
        <f>2.85-1.4-0.05-0.466-0.004-0.24-0.004</f>
        <v>0.68600000000000017</v>
      </c>
    </row>
    <row r="250" spans="1:5" ht="42.75" x14ac:dyDescent="0.2">
      <c r="A250" s="34" t="s">
        <v>644</v>
      </c>
      <c r="B250" s="1" t="s">
        <v>17</v>
      </c>
      <c r="C250" s="2" t="s">
        <v>14</v>
      </c>
      <c r="D250" s="12" t="s">
        <v>444</v>
      </c>
      <c r="E250" s="24">
        <f>4.284-2.092-0.876-0.102-0.526-0.304-0.002-0.09-0.164-0.004</f>
        <v>0.12399999999999969</v>
      </c>
    </row>
    <row r="251" spans="1:5" ht="42.75" x14ac:dyDescent="0.2">
      <c r="A251" s="34" t="s">
        <v>644</v>
      </c>
      <c r="B251" s="1" t="s">
        <v>17</v>
      </c>
      <c r="C251" s="2" t="s">
        <v>226</v>
      </c>
      <c r="D251" s="12" t="s">
        <v>597</v>
      </c>
      <c r="E251" s="22">
        <f>4.284-2.098-0.352-0.6-1.074</f>
        <v>0.15999999999999992</v>
      </c>
    </row>
    <row r="252" spans="1:5" ht="42.75" x14ac:dyDescent="0.2">
      <c r="A252" s="34" t="s">
        <v>644</v>
      </c>
      <c r="B252" s="1" t="s">
        <v>17</v>
      </c>
      <c r="C252" s="2" t="s">
        <v>226</v>
      </c>
      <c r="D252" s="12" t="s">
        <v>527</v>
      </c>
      <c r="E252" s="22">
        <f>2.098-1.05-0.694+0.014</f>
        <v>0.36799999999999988</v>
      </c>
    </row>
    <row r="253" spans="1:5" ht="42.75" x14ac:dyDescent="0.2">
      <c r="A253" s="34" t="s">
        <v>644</v>
      </c>
      <c r="B253" s="1" t="s">
        <v>17</v>
      </c>
      <c r="C253" s="2" t="s">
        <v>226</v>
      </c>
      <c r="D253" s="12" t="s">
        <v>422</v>
      </c>
      <c r="E253" s="22">
        <f>2.57-1.486-0.09-0.108-0.106-0.004-0.172-0.106-0.128-0.208-0.042</f>
        <v>0.11999999999999988</v>
      </c>
    </row>
    <row r="254" spans="1:5" ht="42.75" x14ac:dyDescent="0.2">
      <c r="A254" s="34" t="s">
        <v>644</v>
      </c>
      <c r="B254" s="1" t="s">
        <v>17</v>
      </c>
      <c r="C254" s="2" t="s">
        <v>226</v>
      </c>
      <c r="D254" s="12" t="s">
        <v>118</v>
      </c>
      <c r="E254" s="22">
        <f>2.57</f>
        <v>2.57</v>
      </c>
    </row>
    <row r="255" spans="1:5" ht="42.75" x14ac:dyDescent="0.2">
      <c r="A255" s="34" t="s">
        <v>644</v>
      </c>
      <c r="B255" s="1" t="s">
        <v>17</v>
      </c>
      <c r="C255" s="2" t="s">
        <v>226</v>
      </c>
      <c r="D255" s="12" t="s">
        <v>460</v>
      </c>
      <c r="E255" s="24">
        <f>2.855-0.94-0.031-0.946-0.002-0.476-0.004</f>
        <v>0.45600000000000018</v>
      </c>
    </row>
    <row r="256" spans="1:5" ht="42.75" x14ac:dyDescent="0.2">
      <c r="A256" s="34" t="s">
        <v>644</v>
      </c>
      <c r="B256" s="1" t="s">
        <v>17</v>
      </c>
      <c r="C256" s="2" t="s">
        <v>14</v>
      </c>
      <c r="D256" s="12" t="s">
        <v>636</v>
      </c>
      <c r="E256" s="24">
        <f>3.044-0.22+0.176-1.06</f>
        <v>1.94</v>
      </c>
    </row>
    <row r="257" spans="1:5" ht="42.75" x14ac:dyDescent="0.2">
      <c r="A257" s="34" t="s">
        <v>644</v>
      </c>
      <c r="B257" s="1" t="s">
        <v>17</v>
      </c>
      <c r="C257" s="2" t="s">
        <v>14</v>
      </c>
      <c r="D257" s="12" t="s">
        <v>517</v>
      </c>
      <c r="E257" s="24">
        <f>3.71-0.838-0.002-2.088-0.002-0.19-0.134-0.062-0.198-0.01</f>
        <v>0.18600000000000005</v>
      </c>
    </row>
    <row r="258" spans="1:5" ht="42.75" x14ac:dyDescent="0.2">
      <c r="A258" s="34" t="s">
        <v>644</v>
      </c>
      <c r="B258" s="1" t="s">
        <v>17</v>
      </c>
      <c r="C258" s="2" t="s">
        <v>14</v>
      </c>
      <c r="D258" s="12" t="s">
        <v>518</v>
      </c>
      <c r="E258" s="24">
        <f>0.198</f>
        <v>0.19800000000000001</v>
      </c>
    </row>
    <row r="259" spans="1:5" ht="42.75" x14ac:dyDescent="0.2">
      <c r="A259" s="34" t="s">
        <v>644</v>
      </c>
      <c r="B259" s="1" t="s">
        <v>17</v>
      </c>
      <c r="C259" s="2" t="s">
        <v>226</v>
      </c>
      <c r="D259" s="12" t="s">
        <v>479</v>
      </c>
      <c r="E259" s="24">
        <f>3.74-1.268-0.03-0.942-0.01-1.23-0.002-0.066-0.058-0.002</f>
        <v>0.13200000000000067</v>
      </c>
    </row>
    <row r="260" spans="1:5" ht="42.75" x14ac:dyDescent="0.2">
      <c r="A260" s="34" t="s">
        <v>644</v>
      </c>
      <c r="B260" s="1" t="s">
        <v>17</v>
      </c>
      <c r="C260" s="2" t="s">
        <v>226</v>
      </c>
      <c r="D260" s="12" t="s">
        <v>572</v>
      </c>
      <c r="E260" s="24">
        <f>4.53-0.086-0.154-0.046-0.206-0.072-0.14-0.12+0.002-0.124-0.25-0.01-1.912-0.012</f>
        <v>1.399999999999999</v>
      </c>
    </row>
    <row r="261" spans="1:5" ht="42.75" x14ac:dyDescent="0.2">
      <c r="A261" s="34" t="s">
        <v>644</v>
      </c>
      <c r="B261" s="1" t="s">
        <v>17</v>
      </c>
      <c r="C261" s="2" t="s">
        <v>226</v>
      </c>
      <c r="D261" s="12" t="s">
        <v>482</v>
      </c>
      <c r="E261" s="24">
        <f>0.12</f>
        <v>0.12</v>
      </c>
    </row>
    <row r="262" spans="1:5" ht="42.75" x14ac:dyDescent="0.2">
      <c r="A262" s="34" t="s">
        <v>644</v>
      </c>
      <c r="B262" s="1" t="s">
        <v>17</v>
      </c>
      <c r="C262" s="2" t="s">
        <v>226</v>
      </c>
      <c r="D262" s="12" t="s">
        <v>637</v>
      </c>
      <c r="E262" s="24">
        <f>3.01-0.218+0.038-0.89-0.104-0.154-0.002-0.962</f>
        <v>0.71799999999999953</v>
      </c>
    </row>
    <row r="263" spans="1:5" ht="42.75" x14ac:dyDescent="0.2">
      <c r="A263" s="34" t="s">
        <v>644</v>
      </c>
      <c r="B263" s="1" t="s">
        <v>17</v>
      </c>
      <c r="C263" s="2" t="s">
        <v>226</v>
      </c>
      <c r="D263" s="12" t="s">
        <v>519</v>
      </c>
      <c r="E263" s="24">
        <f>0.154</f>
        <v>0.154</v>
      </c>
    </row>
    <row r="264" spans="1:5" ht="42.75" x14ac:dyDescent="0.2">
      <c r="A264" s="34" t="s">
        <v>644</v>
      </c>
      <c r="B264" s="1" t="s">
        <v>17</v>
      </c>
      <c r="C264" s="2" t="s">
        <v>14</v>
      </c>
      <c r="D264" s="12" t="s">
        <v>364</v>
      </c>
      <c r="E264" s="25">
        <f>3.04</f>
        <v>3.04</v>
      </c>
    </row>
    <row r="265" spans="1:5" ht="42.75" x14ac:dyDescent="0.2">
      <c r="A265" s="34" t="s">
        <v>644</v>
      </c>
      <c r="B265" s="1" t="s">
        <v>17</v>
      </c>
      <c r="C265" s="2" t="s">
        <v>14</v>
      </c>
      <c r="D265" s="12" t="s">
        <v>638</v>
      </c>
      <c r="E265" s="25">
        <f>3.227-1.482-0.367+0.048-0.47</f>
        <v>0.95599999999999996</v>
      </c>
    </row>
    <row r="266" spans="1:5" ht="42.75" x14ac:dyDescent="0.2">
      <c r="A266" s="34" t="s">
        <v>644</v>
      </c>
      <c r="B266" s="1" t="s">
        <v>17</v>
      </c>
      <c r="C266" s="2" t="s">
        <v>14</v>
      </c>
      <c r="D266" s="12" t="s">
        <v>381</v>
      </c>
      <c r="E266" s="25">
        <f>0.28</f>
        <v>0.28000000000000003</v>
      </c>
    </row>
    <row r="267" spans="1:5" ht="42.75" x14ac:dyDescent="0.2">
      <c r="A267" s="34" t="s">
        <v>644</v>
      </c>
      <c r="B267" s="1" t="s">
        <v>17</v>
      </c>
      <c r="C267" s="2" t="s">
        <v>14</v>
      </c>
      <c r="D267" s="12" t="s">
        <v>639</v>
      </c>
      <c r="E267" s="25">
        <f>0.27</f>
        <v>0.27</v>
      </c>
    </row>
    <row r="268" spans="1:5" ht="42.75" x14ac:dyDescent="0.2">
      <c r="A268" s="34" t="s">
        <v>644</v>
      </c>
      <c r="B268" s="1" t="s">
        <v>17</v>
      </c>
      <c r="C268" s="2" t="s">
        <v>239</v>
      </c>
      <c r="D268" s="12" t="s">
        <v>311</v>
      </c>
      <c r="E268" s="25">
        <f>2.025-0.794-0.023</f>
        <v>1.208</v>
      </c>
    </row>
    <row r="269" spans="1:5" ht="42.75" x14ac:dyDescent="0.2">
      <c r="A269" s="34" t="s">
        <v>644</v>
      </c>
      <c r="B269" s="1" t="s">
        <v>17</v>
      </c>
      <c r="C269" s="2" t="s">
        <v>239</v>
      </c>
      <c r="D269" s="12" t="s">
        <v>356</v>
      </c>
      <c r="E269" s="25">
        <f>4.72</f>
        <v>4.72</v>
      </c>
    </row>
    <row r="270" spans="1:5" ht="42.75" x14ac:dyDescent="0.2">
      <c r="A270" s="34" t="s">
        <v>644</v>
      </c>
      <c r="B270" s="1" t="s">
        <v>17</v>
      </c>
      <c r="C270" s="2" t="s">
        <v>226</v>
      </c>
      <c r="D270" s="12" t="s">
        <v>480</v>
      </c>
      <c r="E270" s="22">
        <f>8.603-0.816-1.024-1.998-0.631-1.346-0.004-1.872-0.008-0.122-0.358-0.006</f>
        <v>0.41799999999999926</v>
      </c>
    </row>
    <row r="271" spans="1:5" ht="42.75" x14ac:dyDescent="0.2">
      <c r="A271" s="34" t="s">
        <v>644</v>
      </c>
      <c r="B271" s="1" t="s">
        <v>17</v>
      </c>
      <c r="C271" s="2" t="s">
        <v>226</v>
      </c>
      <c r="D271" s="12" t="s">
        <v>481</v>
      </c>
      <c r="E271" s="22">
        <f>0.358</f>
        <v>0.35799999999999998</v>
      </c>
    </row>
    <row r="272" spans="1:5" ht="42.75" x14ac:dyDescent="0.2">
      <c r="A272" s="34" t="s">
        <v>644</v>
      </c>
      <c r="B272" s="1" t="s">
        <v>17</v>
      </c>
      <c r="C272" s="2" t="s">
        <v>226</v>
      </c>
      <c r="D272" s="12" t="s">
        <v>520</v>
      </c>
      <c r="E272" s="22">
        <f>0.532</f>
        <v>0.53200000000000003</v>
      </c>
    </row>
    <row r="273" spans="1:5" ht="42.75" x14ac:dyDescent="0.2">
      <c r="A273" s="34" t="s">
        <v>644</v>
      </c>
      <c r="B273" s="1" t="s">
        <v>17</v>
      </c>
      <c r="C273" s="2" t="s">
        <v>226</v>
      </c>
      <c r="D273" s="12" t="s">
        <v>521</v>
      </c>
      <c r="E273" s="22">
        <f>0.126</f>
        <v>0.126</v>
      </c>
    </row>
    <row r="274" spans="1:5" ht="42.75" x14ac:dyDescent="0.2">
      <c r="A274" s="34" t="s">
        <v>644</v>
      </c>
      <c r="B274" s="1" t="s">
        <v>17</v>
      </c>
      <c r="C274" s="2" t="s">
        <v>226</v>
      </c>
      <c r="D274" s="12" t="s">
        <v>485</v>
      </c>
      <c r="E274" s="22">
        <f>0.16</f>
        <v>0.16</v>
      </c>
    </row>
    <row r="275" spans="1:5" ht="42.75" x14ac:dyDescent="0.2">
      <c r="A275" s="34" t="s">
        <v>644</v>
      </c>
      <c r="B275" s="1" t="s">
        <v>17</v>
      </c>
      <c r="C275" s="2" t="s">
        <v>226</v>
      </c>
      <c r="D275" s="12" t="s">
        <v>284</v>
      </c>
      <c r="E275" s="22">
        <f>18.536-9.21</f>
        <v>9.3260000000000005</v>
      </c>
    </row>
    <row r="276" spans="1:5" ht="42.75" x14ac:dyDescent="0.2">
      <c r="A276" s="34" t="s">
        <v>644</v>
      </c>
      <c r="B276" s="1" t="s">
        <v>17</v>
      </c>
      <c r="C276" s="2" t="s">
        <v>226</v>
      </c>
      <c r="D276" s="12" t="s">
        <v>278</v>
      </c>
      <c r="E276" s="22">
        <f>27.768-6.942-6.9</f>
        <v>13.926</v>
      </c>
    </row>
    <row r="277" spans="1:5" ht="42.75" x14ac:dyDescent="0.2">
      <c r="A277" s="34" t="s">
        <v>644</v>
      </c>
      <c r="B277" s="1" t="s">
        <v>17</v>
      </c>
      <c r="C277" s="2" t="s">
        <v>226</v>
      </c>
      <c r="D277" s="12" t="s">
        <v>484</v>
      </c>
      <c r="E277" s="22">
        <f>6.9-0.626-0.14-0.438+0.016</f>
        <v>5.7120000000000006</v>
      </c>
    </row>
    <row r="278" spans="1:5" ht="42.75" x14ac:dyDescent="0.2">
      <c r="A278" s="34" t="s">
        <v>644</v>
      </c>
      <c r="B278" s="1" t="s">
        <v>17</v>
      </c>
      <c r="C278" s="2" t="s">
        <v>226</v>
      </c>
      <c r="D278" s="12" t="s">
        <v>483</v>
      </c>
      <c r="E278" s="22">
        <f>0.438</f>
        <v>0.438</v>
      </c>
    </row>
    <row r="279" spans="1:5" ht="42.75" x14ac:dyDescent="0.2">
      <c r="A279" s="34" t="s">
        <v>644</v>
      </c>
      <c r="B279" s="1" t="s">
        <v>18</v>
      </c>
      <c r="C279" s="2" t="s">
        <v>14</v>
      </c>
      <c r="D279" s="16" t="s">
        <v>156</v>
      </c>
      <c r="E279" s="20">
        <f>2.985-1.358-0.124-0.124-0.123-0.123-0.124-0.124-0.126-0.126-0.124</f>
        <v>0.50899999999999945</v>
      </c>
    </row>
    <row r="280" spans="1:5" ht="42.75" x14ac:dyDescent="0.2">
      <c r="A280" s="34" t="s">
        <v>644</v>
      </c>
      <c r="B280" s="1" t="s">
        <v>18</v>
      </c>
      <c r="C280" s="2" t="s">
        <v>226</v>
      </c>
      <c r="D280" s="16" t="s">
        <v>12</v>
      </c>
      <c r="E280" s="20">
        <f>2.81-0.71-0.702</f>
        <v>1.3980000000000001</v>
      </c>
    </row>
    <row r="281" spans="1:5" ht="42.75" x14ac:dyDescent="0.2">
      <c r="A281" s="34" t="s">
        <v>644</v>
      </c>
      <c r="B281" s="1" t="s">
        <v>18</v>
      </c>
      <c r="C281" s="2" t="s">
        <v>226</v>
      </c>
      <c r="D281" s="16" t="s">
        <v>523</v>
      </c>
      <c r="E281" s="20">
        <f>0.71-0.059-0.015-0.348+0.002</f>
        <v>0.29000000000000004</v>
      </c>
    </row>
    <row r="282" spans="1:5" ht="42.75" x14ac:dyDescent="0.2">
      <c r="A282" s="34" t="s">
        <v>644</v>
      </c>
      <c r="B282" s="1" t="s">
        <v>18</v>
      </c>
      <c r="C282" s="2" t="s">
        <v>14</v>
      </c>
      <c r="D282" s="16" t="s">
        <v>395</v>
      </c>
      <c r="E282" s="20">
        <f>1.137-0.096-0.019-0.22-0.094-0.047-0.003</f>
        <v>0.65800000000000003</v>
      </c>
    </row>
    <row r="283" spans="1:5" ht="42.75" x14ac:dyDescent="0.2">
      <c r="A283" s="34" t="s">
        <v>644</v>
      </c>
      <c r="B283" s="1" t="s">
        <v>18</v>
      </c>
      <c r="C283" s="2" t="s">
        <v>14</v>
      </c>
      <c r="D283" s="16" t="s">
        <v>80</v>
      </c>
      <c r="E283" s="20">
        <f>2.982-1.008</f>
        <v>1.9740000000000002</v>
      </c>
    </row>
    <row r="284" spans="1:5" ht="42.75" x14ac:dyDescent="0.2">
      <c r="A284" s="34" t="s">
        <v>644</v>
      </c>
      <c r="B284" s="1" t="s">
        <v>18</v>
      </c>
      <c r="C284" s="2" t="s">
        <v>14</v>
      </c>
      <c r="D284" s="16" t="s">
        <v>552</v>
      </c>
      <c r="E284" s="20">
        <f>1.008-0.37-0.084-0.004</f>
        <v>0.55000000000000004</v>
      </c>
    </row>
    <row r="285" spans="1:5" ht="42.75" x14ac:dyDescent="0.2">
      <c r="A285" s="34" t="s">
        <v>644</v>
      </c>
      <c r="B285" s="1" t="s">
        <v>18</v>
      </c>
      <c r="C285" s="2" t="s">
        <v>14</v>
      </c>
      <c r="D285" s="16" t="s">
        <v>596</v>
      </c>
      <c r="E285" s="20">
        <f>1.12-0.372-0.3-0.002-0.3-0.002</f>
        <v>0.14400000000000013</v>
      </c>
    </row>
    <row r="286" spans="1:5" ht="42.75" x14ac:dyDescent="0.2">
      <c r="A286" s="34" t="s">
        <v>644</v>
      </c>
      <c r="B286" s="1" t="s">
        <v>18</v>
      </c>
      <c r="C286" s="2" t="s">
        <v>14</v>
      </c>
      <c r="D286" s="16" t="s">
        <v>624</v>
      </c>
      <c r="E286" s="20">
        <f>1.122-0.3-0.207-0.001-0.46</f>
        <v>0.15400000000000008</v>
      </c>
    </row>
    <row r="287" spans="1:5" ht="42.75" x14ac:dyDescent="0.2">
      <c r="A287" s="34" t="s">
        <v>644</v>
      </c>
      <c r="B287" s="1" t="s">
        <v>18</v>
      </c>
      <c r="C287" s="2" t="s">
        <v>14</v>
      </c>
      <c r="D287" s="16" t="s">
        <v>40</v>
      </c>
      <c r="E287" s="20">
        <f>2.856-1.428</f>
        <v>1.4279999999999999</v>
      </c>
    </row>
    <row r="288" spans="1:5" ht="42.75" x14ac:dyDescent="0.2">
      <c r="A288" s="34" t="s">
        <v>644</v>
      </c>
      <c r="B288" s="1" t="s">
        <v>18</v>
      </c>
      <c r="C288" s="2" t="s">
        <v>14</v>
      </c>
      <c r="D288" s="16" t="s">
        <v>456</v>
      </c>
      <c r="E288" s="20">
        <f>1.428-0.12+0.008-0.44-0.037-0.044+0.004-0.122-0.002-0.244-0.003</f>
        <v>0.42799999999999983</v>
      </c>
    </row>
    <row r="289" spans="1:5" ht="42.75" x14ac:dyDescent="0.2">
      <c r="A289" s="34" t="s">
        <v>644</v>
      </c>
      <c r="B289" s="1" t="s">
        <v>18</v>
      </c>
      <c r="C289" s="2" t="s">
        <v>226</v>
      </c>
      <c r="D289" s="16" t="s">
        <v>40</v>
      </c>
      <c r="E289" s="20">
        <f>2.856</f>
        <v>2.8559999999999999</v>
      </c>
    </row>
    <row r="290" spans="1:5" ht="42.75" x14ac:dyDescent="0.2">
      <c r="A290" s="34" t="s">
        <v>644</v>
      </c>
      <c r="B290" s="1" t="s">
        <v>18</v>
      </c>
      <c r="C290" s="2" t="s">
        <v>14</v>
      </c>
      <c r="D290" s="16" t="s">
        <v>451</v>
      </c>
      <c r="E290" s="20">
        <f>1.785-0.456-0.031-0.296-0.298-0.002-0.294-0.044-0.002-0.132-0.002</f>
        <v>0.22799999999999998</v>
      </c>
    </row>
    <row r="291" spans="1:5" ht="42.75" x14ac:dyDescent="0.2">
      <c r="A291" s="34" t="s">
        <v>644</v>
      </c>
      <c r="B291" s="1" t="s">
        <v>18</v>
      </c>
      <c r="C291" s="2" t="s">
        <v>14</v>
      </c>
      <c r="D291" s="16" t="s">
        <v>625</v>
      </c>
      <c r="E291" s="20">
        <f>3.57-1.742-0.868-0.088-0.598</f>
        <v>0.27399999999999991</v>
      </c>
    </row>
    <row r="292" spans="1:5" ht="42.75" x14ac:dyDescent="0.2">
      <c r="A292" s="34" t="s">
        <v>644</v>
      </c>
      <c r="B292" s="1" t="s">
        <v>18</v>
      </c>
      <c r="C292" s="2" t="s">
        <v>226</v>
      </c>
      <c r="D292" s="16" t="s">
        <v>119</v>
      </c>
      <c r="E292" s="20">
        <f>3.57</f>
        <v>3.57</v>
      </c>
    </row>
    <row r="293" spans="1:5" ht="42.75" x14ac:dyDescent="0.2">
      <c r="A293" s="34" t="s">
        <v>644</v>
      </c>
      <c r="B293" s="1" t="s">
        <v>18</v>
      </c>
      <c r="C293" s="2" t="s">
        <v>226</v>
      </c>
      <c r="D293" s="16" t="s">
        <v>626</v>
      </c>
      <c r="E293" s="21">
        <f>4.284-2.072-0.895-1.042-0.132</f>
        <v>0.14299999999999968</v>
      </c>
    </row>
    <row r="294" spans="1:5" ht="42.75" x14ac:dyDescent="0.2">
      <c r="A294" s="34" t="s">
        <v>644</v>
      </c>
      <c r="B294" s="1" t="s">
        <v>18</v>
      </c>
      <c r="C294" s="2" t="s">
        <v>226</v>
      </c>
      <c r="D294" s="16" t="s">
        <v>627</v>
      </c>
      <c r="E294" s="21">
        <f>2.072-0.348-0.895</f>
        <v>0.82900000000000018</v>
      </c>
    </row>
    <row r="295" spans="1:5" ht="42.75" x14ac:dyDescent="0.2">
      <c r="A295" s="34" t="s">
        <v>644</v>
      </c>
      <c r="B295" s="1" t="s">
        <v>18</v>
      </c>
      <c r="C295" s="2" t="s">
        <v>226</v>
      </c>
      <c r="D295" s="16" t="s">
        <v>515</v>
      </c>
      <c r="E295" s="20">
        <f>3.569-0.192-0.596-0.005-0.198-1.51-0.006</f>
        <v>1.0619999999999998</v>
      </c>
    </row>
    <row r="296" spans="1:5" ht="42.75" x14ac:dyDescent="0.2">
      <c r="A296" s="34" t="s">
        <v>644</v>
      </c>
      <c r="B296" s="1" t="s">
        <v>18</v>
      </c>
      <c r="C296" s="2" t="s">
        <v>226</v>
      </c>
      <c r="D296" s="16" t="s">
        <v>628</v>
      </c>
      <c r="E296" s="20">
        <f>3.71-1.5-1.248</f>
        <v>0.96199999999999997</v>
      </c>
    </row>
    <row r="297" spans="1:5" ht="42.75" x14ac:dyDescent="0.2">
      <c r="A297" s="34" t="s">
        <v>644</v>
      </c>
      <c r="B297" s="1" t="s">
        <v>18</v>
      </c>
      <c r="C297" s="2" t="s">
        <v>19</v>
      </c>
      <c r="D297" s="5" t="s">
        <v>98</v>
      </c>
      <c r="E297" s="25">
        <f>0.645-0.173-0.336-0.021</f>
        <v>0.115</v>
      </c>
    </row>
    <row r="298" spans="1:5" ht="42.75" x14ac:dyDescent="0.2">
      <c r="A298" s="34" t="s">
        <v>644</v>
      </c>
      <c r="B298" s="1" t="s">
        <v>18</v>
      </c>
      <c r="C298" s="2" t="s">
        <v>14</v>
      </c>
      <c r="D298" s="5" t="s">
        <v>393</v>
      </c>
      <c r="E298" s="25">
        <f>1.266-0.362+0.002</f>
        <v>0.90600000000000003</v>
      </c>
    </row>
    <row r="299" spans="1:5" ht="42.75" x14ac:dyDescent="0.2">
      <c r="A299" s="34" t="s">
        <v>644</v>
      </c>
      <c r="B299" s="1" t="s">
        <v>18</v>
      </c>
      <c r="C299" s="2" t="s">
        <v>285</v>
      </c>
      <c r="D299" s="5" t="s">
        <v>526</v>
      </c>
      <c r="E299" s="25">
        <f>20.826-7.08-7.174-4.284</f>
        <v>2.2880000000000003</v>
      </c>
    </row>
    <row r="300" spans="1:5" ht="42.75" x14ac:dyDescent="0.2">
      <c r="A300" s="34" t="s">
        <v>644</v>
      </c>
      <c r="B300" s="1" t="s">
        <v>18</v>
      </c>
      <c r="C300" s="2" t="s">
        <v>285</v>
      </c>
      <c r="D300" s="5" t="s">
        <v>475</v>
      </c>
      <c r="E300" s="25">
        <f>7.174-0.802-4.496-0.144</f>
        <v>1.7319999999999995</v>
      </c>
    </row>
    <row r="301" spans="1:5" ht="42.75" x14ac:dyDescent="0.2">
      <c r="A301" s="34" t="s">
        <v>644</v>
      </c>
      <c r="B301" s="1" t="s">
        <v>84</v>
      </c>
      <c r="C301" s="2" t="s">
        <v>122</v>
      </c>
      <c r="D301" s="5" t="s">
        <v>9</v>
      </c>
      <c r="E301" s="23">
        <f>1.05</f>
        <v>1.05</v>
      </c>
    </row>
    <row r="302" spans="1:5" ht="42.75" x14ac:dyDescent="0.2">
      <c r="A302" s="34" t="s">
        <v>644</v>
      </c>
      <c r="B302" s="1" t="s">
        <v>84</v>
      </c>
      <c r="C302" s="2" t="s">
        <v>122</v>
      </c>
      <c r="D302" s="5" t="s">
        <v>9</v>
      </c>
      <c r="E302" s="23">
        <f>0.975</f>
        <v>0.97499999999999998</v>
      </c>
    </row>
    <row r="303" spans="1:5" ht="42.75" x14ac:dyDescent="0.2">
      <c r="A303" s="34" t="s">
        <v>644</v>
      </c>
      <c r="B303" s="1" t="s">
        <v>84</v>
      </c>
      <c r="C303" s="2" t="s">
        <v>122</v>
      </c>
      <c r="D303" s="5" t="s">
        <v>120</v>
      </c>
      <c r="E303" s="23">
        <f>2.045</f>
        <v>2.0449999999999999</v>
      </c>
    </row>
    <row r="304" spans="1:5" ht="42.75" x14ac:dyDescent="0.2">
      <c r="A304" s="34" t="s">
        <v>644</v>
      </c>
      <c r="B304" s="1" t="s">
        <v>84</v>
      </c>
      <c r="C304" s="2" t="s">
        <v>122</v>
      </c>
      <c r="D304" s="5" t="s">
        <v>121</v>
      </c>
      <c r="E304" s="25">
        <f>0.955-0.16</f>
        <v>0.79499999999999993</v>
      </c>
    </row>
    <row r="305" spans="1:5" ht="42.75" x14ac:dyDescent="0.2">
      <c r="A305" s="34" t="s">
        <v>644</v>
      </c>
      <c r="B305" s="1" t="s">
        <v>84</v>
      </c>
      <c r="C305" s="2" t="s">
        <v>122</v>
      </c>
      <c r="D305" s="5" t="s">
        <v>204</v>
      </c>
      <c r="E305" s="25">
        <f>2.24</f>
        <v>2.2400000000000002</v>
      </c>
    </row>
    <row r="306" spans="1:5" ht="42.75" x14ac:dyDescent="0.2">
      <c r="A306" s="34" t="s">
        <v>644</v>
      </c>
      <c r="B306" s="3" t="s">
        <v>236</v>
      </c>
      <c r="C306" s="4" t="s">
        <v>237</v>
      </c>
      <c r="D306" s="11" t="s">
        <v>238</v>
      </c>
      <c r="E306" s="27">
        <f>0.572</f>
        <v>0.57199999999999995</v>
      </c>
    </row>
    <row r="307" spans="1:5" ht="42.75" x14ac:dyDescent="0.2">
      <c r="A307" s="34" t="s">
        <v>644</v>
      </c>
      <c r="B307" s="16" t="s">
        <v>536</v>
      </c>
      <c r="C307" s="12" t="s">
        <v>538</v>
      </c>
      <c r="D307" s="16" t="s">
        <v>537</v>
      </c>
      <c r="E307" s="20">
        <f>2.844-1.87</f>
        <v>0.97399999999999975</v>
      </c>
    </row>
    <row r="308" spans="1:5" ht="42.75" x14ac:dyDescent="0.2">
      <c r="A308" s="34" t="s">
        <v>644</v>
      </c>
      <c r="B308" s="1" t="s">
        <v>71</v>
      </c>
      <c r="C308" s="12" t="s">
        <v>162</v>
      </c>
      <c r="D308" s="5" t="s">
        <v>73</v>
      </c>
      <c r="E308" s="24">
        <f>0.776-0.516</f>
        <v>0.26</v>
      </c>
    </row>
    <row r="309" spans="1:5" ht="42.75" x14ac:dyDescent="0.2">
      <c r="A309" s="34" t="s">
        <v>644</v>
      </c>
      <c r="B309" s="1" t="s">
        <v>71</v>
      </c>
      <c r="C309" s="12" t="s">
        <v>160</v>
      </c>
      <c r="D309" s="5" t="s">
        <v>158</v>
      </c>
      <c r="E309" s="24">
        <f>5.1-2.76</f>
        <v>2.34</v>
      </c>
    </row>
    <row r="310" spans="1:5" ht="42.75" x14ac:dyDescent="0.2">
      <c r="A310" s="34" t="s">
        <v>644</v>
      </c>
      <c r="B310" s="1" t="s">
        <v>71</v>
      </c>
      <c r="C310" s="12" t="s">
        <v>160</v>
      </c>
      <c r="D310" s="5" t="s">
        <v>159</v>
      </c>
      <c r="E310" s="24">
        <f>2.76-0.76-0.004</f>
        <v>1.9959999999999998</v>
      </c>
    </row>
    <row r="311" spans="1:5" ht="28.5" x14ac:dyDescent="0.2">
      <c r="A311" s="34" t="s">
        <v>645</v>
      </c>
      <c r="B311" s="1" t="s">
        <v>16</v>
      </c>
      <c r="C311" s="1" t="s">
        <v>257</v>
      </c>
      <c r="D311" s="5" t="s">
        <v>181</v>
      </c>
      <c r="E311" s="25">
        <f>0.124-0.03</f>
        <v>9.4E-2</v>
      </c>
    </row>
    <row r="312" spans="1:5" ht="28.5" x14ac:dyDescent="0.2">
      <c r="A312" s="34" t="s">
        <v>645</v>
      </c>
      <c r="B312" s="1" t="s">
        <v>16</v>
      </c>
      <c r="C312" s="1" t="s">
        <v>257</v>
      </c>
      <c r="D312" s="5" t="s">
        <v>7</v>
      </c>
      <c r="E312" s="25">
        <f>3.93-0.203-0.032-0.508-0.316-0.032-0.032-0.16-0.129-0.094-0.127-0.032-0.062</f>
        <v>2.2030000000000007</v>
      </c>
    </row>
    <row r="313" spans="1:5" ht="28.5" x14ac:dyDescent="0.2">
      <c r="A313" s="34" t="s">
        <v>645</v>
      </c>
      <c r="B313" s="1" t="s">
        <v>16</v>
      </c>
      <c r="C313" s="1" t="s">
        <v>257</v>
      </c>
      <c r="D313" s="5" t="s">
        <v>9</v>
      </c>
      <c r="E313" s="25">
        <f>2.004-0.186-0.496-0.062-0.062-0.316-0.064-0.126-0.51-0.04</f>
        <v>0.14199999999999982</v>
      </c>
    </row>
    <row r="314" spans="1:5" ht="28.5" x14ac:dyDescent="0.2">
      <c r="A314" s="34" t="s">
        <v>645</v>
      </c>
      <c r="B314" s="1" t="s">
        <v>16</v>
      </c>
      <c r="C314" s="1" t="s">
        <v>257</v>
      </c>
      <c r="D314" s="5" t="s">
        <v>9</v>
      </c>
      <c r="E314" s="25">
        <f>2.018</f>
        <v>2.0179999999999998</v>
      </c>
    </row>
    <row r="315" spans="1:5" ht="28.5" x14ac:dyDescent="0.2">
      <c r="A315" s="34" t="s">
        <v>645</v>
      </c>
      <c r="B315" s="1" t="s">
        <v>16</v>
      </c>
      <c r="C315" s="1" t="s">
        <v>257</v>
      </c>
      <c r="D315" s="5" t="s">
        <v>110</v>
      </c>
      <c r="E315" s="23">
        <f>4.4-0.364-0.708-0.355</f>
        <v>2.9730000000000003</v>
      </c>
    </row>
    <row r="316" spans="1:5" ht="28.5" x14ac:dyDescent="0.2">
      <c r="A316" s="34" t="s">
        <v>645</v>
      </c>
      <c r="B316" s="1" t="s">
        <v>16</v>
      </c>
      <c r="C316" s="1" t="s">
        <v>257</v>
      </c>
      <c r="D316" s="5" t="s">
        <v>561</v>
      </c>
      <c r="E316" s="23">
        <f>0.355-0.017-0.024-0.025+0.001</f>
        <v>0.28999999999999992</v>
      </c>
    </row>
    <row r="317" spans="1:5" ht="28.5" x14ac:dyDescent="0.2">
      <c r="A317" s="34" t="s">
        <v>645</v>
      </c>
      <c r="B317" s="1" t="s">
        <v>16</v>
      </c>
      <c r="C317" s="1" t="s">
        <v>77</v>
      </c>
      <c r="D317" s="5" t="s">
        <v>190</v>
      </c>
      <c r="E317" s="23">
        <f>3.81-1.672-0.864-0.436-0.43-0.07+0.013-0.14-0.001-0.106-0.018-0.002-0.036</f>
        <v>4.8000000000000077E-2</v>
      </c>
    </row>
    <row r="318" spans="1:5" ht="28.5" x14ac:dyDescent="0.2">
      <c r="A318" s="34" t="s">
        <v>645</v>
      </c>
      <c r="B318" s="1" t="s">
        <v>16</v>
      </c>
      <c r="C318" s="1" t="s">
        <v>77</v>
      </c>
      <c r="D318" s="5" t="s">
        <v>491</v>
      </c>
      <c r="E318" s="23">
        <f>4.38-0.442-0.87-0.444-0.442-0.45-0.872-0.44-0.09</f>
        <v>0.32999999999999952</v>
      </c>
    </row>
    <row r="319" spans="1:5" ht="28.5" x14ac:dyDescent="0.2">
      <c r="A319" s="34" t="s">
        <v>645</v>
      </c>
      <c r="B319" s="1" t="s">
        <v>16</v>
      </c>
      <c r="C319" s="1" t="s">
        <v>77</v>
      </c>
      <c r="D319" s="5" t="s">
        <v>56</v>
      </c>
      <c r="E319" s="23">
        <f>4.18</f>
        <v>4.18</v>
      </c>
    </row>
    <row r="320" spans="1:5" ht="28.5" x14ac:dyDescent="0.2">
      <c r="A320" s="34" t="s">
        <v>645</v>
      </c>
      <c r="B320" s="1" t="s">
        <v>16</v>
      </c>
      <c r="C320" s="1" t="s">
        <v>77</v>
      </c>
      <c r="D320" s="5" t="s">
        <v>27</v>
      </c>
      <c r="E320" s="25">
        <f>5.05-0.57-0.56-0.562-1.124-1.12-0.568</f>
        <v>0.54599999999999949</v>
      </c>
    </row>
    <row r="321" spans="1:5" ht="28.5" x14ac:dyDescent="0.2">
      <c r="A321" s="34" t="s">
        <v>645</v>
      </c>
      <c r="B321" s="1" t="s">
        <v>16</v>
      </c>
      <c r="C321" s="1" t="s">
        <v>77</v>
      </c>
      <c r="D321" s="5" t="s">
        <v>530</v>
      </c>
      <c r="E321" s="25">
        <f>0.57-0.122-0.024-0.014-0.14-0.092-0.034-0.002</f>
        <v>0.1419999999999999</v>
      </c>
    </row>
    <row r="322" spans="1:5" ht="28.5" x14ac:dyDescent="0.2">
      <c r="A322" s="34" t="s">
        <v>645</v>
      </c>
      <c r="B322" s="1" t="s">
        <v>16</v>
      </c>
      <c r="C322" s="1" t="s">
        <v>77</v>
      </c>
      <c r="D322" s="5" t="s">
        <v>551</v>
      </c>
      <c r="E322" s="25">
        <f>0.568-0.188</f>
        <v>0.37999999999999995</v>
      </c>
    </row>
    <row r="323" spans="1:5" ht="28.5" x14ac:dyDescent="0.2">
      <c r="A323" s="34" t="s">
        <v>645</v>
      </c>
      <c r="B323" s="1" t="s">
        <v>16</v>
      </c>
      <c r="C323" s="1" t="s">
        <v>77</v>
      </c>
      <c r="D323" s="5" t="s">
        <v>27</v>
      </c>
      <c r="E323" s="25">
        <f>3.3</f>
        <v>3.3</v>
      </c>
    </row>
    <row r="324" spans="1:5" ht="28.5" x14ac:dyDescent="0.2">
      <c r="A324" s="34" t="s">
        <v>645</v>
      </c>
      <c r="B324" s="1" t="s">
        <v>16</v>
      </c>
      <c r="C324" s="1" t="s">
        <v>77</v>
      </c>
      <c r="D324" s="5" t="s">
        <v>27</v>
      </c>
      <c r="E324" s="25">
        <f>1.1</f>
        <v>1.1000000000000001</v>
      </c>
    </row>
    <row r="325" spans="1:5" ht="28.5" x14ac:dyDescent="0.2">
      <c r="A325" s="34" t="s">
        <v>645</v>
      </c>
      <c r="B325" s="1" t="s">
        <v>16</v>
      </c>
      <c r="C325" s="12" t="s">
        <v>77</v>
      </c>
      <c r="D325" s="5" t="s">
        <v>205</v>
      </c>
      <c r="E325" s="23">
        <f>0.706-0.354-0.178-0.096-0.039+0.001</f>
        <v>3.9999999999999987E-2</v>
      </c>
    </row>
    <row r="326" spans="1:5" ht="28.5" x14ac:dyDescent="0.2">
      <c r="A326" s="34" t="s">
        <v>645</v>
      </c>
      <c r="B326" s="1" t="s">
        <v>16</v>
      </c>
      <c r="C326" s="12" t="s">
        <v>77</v>
      </c>
      <c r="D326" s="5" t="s">
        <v>490</v>
      </c>
      <c r="E326" s="23">
        <f>0.71-0.118-0.178-0.01-0.142+0.002-0.178-0.048-0.002</f>
        <v>3.6000000000000018E-2</v>
      </c>
    </row>
    <row r="327" spans="1:5" ht="28.5" x14ac:dyDescent="0.2">
      <c r="A327" s="34" t="s">
        <v>645</v>
      </c>
      <c r="B327" s="1" t="s">
        <v>16</v>
      </c>
      <c r="C327" s="12" t="s">
        <v>77</v>
      </c>
      <c r="D327" s="5" t="s">
        <v>351</v>
      </c>
      <c r="E327" s="23">
        <f>0.712-0.5-0.178</f>
        <v>3.3999999999999975E-2</v>
      </c>
    </row>
    <row r="328" spans="1:5" ht="28.5" x14ac:dyDescent="0.2">
      <c r="A328" s="34" t="s">
        <v>645</v>
      </c>
      <c r="B328" s="1" t="s">
        <v>16</v>
      </c>
      <c r="C328" s="12" t="s">
        <v>77</v>
      </c>
      <c r="D328" s="5" t="s">
        <v>361</v>
      </c>
      <c r="E328" s="23">
        <f>0.079</f>
        <v>7.9000000000000001E-2</v>
      </c>
    </row>
    <row r="329" spans="1:5" ht="28.5" x14ac:dyDescent="0.2">
      <c r="A329" s="34" t="s">
        <v>645</v>
      </c>
      <c r="B329" s="1" t="s">
        <v>16</v>
      </c>
      <c r="C329" s="12" t="s">
        <v>77</v>
      </c>
      <c r="D329" s="5" t="s">
        <v>12</v>
      </c>
      <c r="E329" s="23">
        <f>4.21-0.688-0.7-0.706-0.702-0.704</f>
        <v>0.71000000000000019</v>
      </c>
    </row>
    <row r="330" spans="1:5" ht="28.5" x14ac:dyDescent="0.2">
      <c r="A330" s="34" t="s">
        <v>645</v>
      </c>
      <c r="B330" s="1" t="s">
        <v>16</v>
      </c>
      <c r="C330" s="12" t="s">
        <v>77</v>
      </c>
      <c r="D330" s="5" t="s">
        <v>578</v>
      </c>
      <c r="E330" s="23">
        <f>0.707-0.177-0.296</f>
        <v>0.23400000000000004</v>
      </c>
    </row>
    <row r="331" spans="1:5" ht="28.5" x14ac:dyDescent="0.2">
      <c r="A331" s="34" t="s">
        <v>645</v>
      </c>
      <c r="B331" s="1" t="s">
        <v>16</v>
      </c>
      <c r="C331" s="12" t="s">
        <v>77</v>
      </c>
      <c r="D331" s="5" t="s">
        <v>560</v>
      </c>
      <c r="E331" s="23">
        <f>0.702-0.058-0.232-0.118-0.119-0.005</f>
        <v>0.16999999999999993</v>
      </c>
    </row>
    <row r="332" spans="1:5" ht="28.5" x14ac:dyDescent="0.2">
      <c r="A332" s="34" t="s">
        <v>645</v>
      </c>
      <c r="B332" s="1" t="s">
        <v>16</v>
      </c>
      <c r="C332" s="12" t="s">
        <v>77</v>
      </c>
      <c r="D332" s="5" t="s">
        <v>12</v>
      </c>
      <c r="E332" s="23">
        <f>4.19-0.694</f>
        <v>3.4960000000000004</v>
      </c>
    </row>
    <row r="333" spans="1:5" ht="28.5" x14ac:dyDescent="0.2">
      <c r="A333" s="34" t="s">
        <v>645</v>
      </c>
      <c r="B333" s="1" t="s">
        <v>16</v>
      </c>
      <c r="C333" s="12" t="s">
        <v>77</v>
      </c>
      <c r="D333" s="5" t="s">
        <v>253</v>
      </c>
      <c r="E333" s="23">
        <f>0.832-0.502-0.216-0.06</f>
        <v>5.3999999999999965E-2</v>
      </c>
    </row>
    <row r="334" spans="1:5" ht="28.5" x14ac:dyDescent="0.2">
      <c r="A334" s="34" t="s">
        <v>645</v>
      </c>
      <c r="B334" s="1" t="s">
        <v>16</v>
      </c>
      <c r="C334" s="12" t="s">
        <v>77</v>
      </c>
      <c r="D334" s="5" t="s">
        <v>458</v>
      </c>
      <c r="E334" s="25">
        <f>0.842-0.184-0.036-0.002-0.19-0.002</f>
        <v>0.42799999999999988</v>
      </c>
    </row>
    <row r="335" spans="1:5" ht="28.5" x14ac:dyDescent="0.2">
      <c r="A335" s="34" t="s">
        <v>645</v>
      </c>
      <c r="B335" s="1" t="s">
        <v>16</v>
      </c>
      <c r="C335" s="12" t="s">
        <v>77</v>
      </c>
      <c r="D335" s="5" t="s">
        <v>564</v>
      </c>
      <c r="E335" s="23">
        <f>0.84-0.52+0.004-0.06</f>
        <v>0.26399999999999996</v>
      </c>
    </row>
    <row r="336" spans="1:5" ht="28.5" x14ac:dyDescent="0.2">
      <c r="A336" s="34" t="s">
        <v>645</v>
      </c>
      <c r="B336" s="1" t="s">
        <v>16</v>
      </c>
      <c r="C336" s="12" t="s">
        <v>77</v>
      </c>
      <c r="D336" s="5" t="s">
        <v>54</v>
      </c>
      <c r="E336" s="23">
        <f>3.36-0.834</f>
        <v>2.5259999999999998</v>
      </c>
    </row>
    <row r="337" spans="1:5" ht="28.5" x14ac:dyDescent="0.2">
      <c r="A337" s="34" t="s">
        <v>645</v>
      </c>
      <c r="B337" s="1" t="s">
        <v>16</v>
      </c>
      <c r="C337" s="12" t="s">
        <v>77</v>
      </c>
      <c r="D337" s="5" t="s">
        <v>579</v>
      </c>
      <c r="E337" s="23">
        <f>0.834-0.486</f>
        <v>0.34799999999999998</v>
      </c>
    </row>
    <row r="338" spans="1:5" ht="28.5" x14ac:dyDescent="0.2">
      <c r="A338" s="34" t="s">
        <v>645</v>
      </c>
      <c r="B338" s="1" t="s">
        <v>16</v>
      </c>
      <c r="C338" s="12" t="s">
        <v>77</v>
      </c>
      <c r="D338" s="5" t="s">
        <v>54</v>
      </c>
      <c r="E338" s="23">
        <f>2.55</f>
        <v>2.5499999999999998</v>
      </c>
    </row>
    <row r="339" spans="1:5" ht="28.5" x14ac:dyDescent="0.2">
      <c r="A339" s="34" t="s">
        <v>645</v>
      </c>
      <c r="B339" s="1" t="s">
        <v>16</v>
      </c>
      <c r="C339" s="5" t="s">
        <v>173</v>
      </c>
      <c r="D339" s="5" t="s">
        <v>170</v>
      </c>
      <c r="E339" s="23">
        <v>0.22900000000000001</v>
      </c>
    </row>
    <row r="340" spans="1:5" ht="28.5" x14ac:dyDescent="0.2">
      <c r="A340" s="34" t="s">
        <v>645</v>
      </c>
      <c r="B340" s="1" t="s">
        <v>16</v>
      </c>
      <c r="C340" s="5" t="s">
        <v>173</v>
      </c>
      <c r="D340" s="5" t="s">
        <v>171</v>
      </c>
      <c r="E340" s="23">
        <f>5.477-0.082-1.708-0.08-0.082</f>
        <v>3.5250000000000004</v>
      </c>
    </row>
    <row r="341" spans="1:5" ht="28.5" x14ac:dyDescent="0.2">
      <c r="A341" s="34" t="s">
        <v>645</v>
      </c>
      <c r="B341" s="1" t="s">
        <v>16</v>
      </c>
      <c r="C341" s="12" t="s">
        <v>77</v>
      </c>
      <c r="D341" s="12" t="s">
        <v>565</v>
      </c>
      <c r="E341" s="23">
        <f>0.975-0.275-0.07-0.002</f>
        <v>0.62799999999999989</v>
      </c>
    </row>
    <row r="342" spans="1:5" ht="28.5" x14ac:dyDescent="0.2">
      <c r="A342" s="34" t="s">
        <v>645</v>
      </c>
      <c r="B342" s="1" t="s">
        <v>16</v>
      </c>
      <c r="C342" s="12" t="s">
        <v>77</v>
      </c>
      <c r="D342" s="12" t="s">
        <v>453</v>
      </c>
      <c r="E342" s="25">
        <f>1.95-0.972</f>
        <v>0.97799999999999998</v>
      </c>
    </row>
    <row r="343" spans="1:5" ht="28.5" x14ac:dyDescent="0.2">
      <c r="A343" s="34" t="s">
        <v>645</v>
      </c>
      <c r="B343" s="1" t="s">
        <v>16</v>
      </c>
      <c r="C343" s="12" t="s">
        <v>77</v>
      </c>
      <c r="D343" s="12" t="s">
        <v>80</v>
      </c>
      <c r="E343" s="25">
        <f>1.93</f>
        <v>1.93</v>
      </c>
    </row>
    <row r="344" spans="1:5" ht="28.5" x14ac:dyDescent="0.2">
      <c r="A344" s="34" t="s">
        <v>645</v>
      </c>
      <c r="B344" s="1" t="s">
        <v>16</v>
      </c>
      <c r="C344" s="12" t="s">
        <v>77</v>
      </c>
      <c r="D344" s="5" t="s">
        <v>566</v>
      </c>
      <c r="E344" s="25">
        <f>3.36-1.127-1.13-0.313-0.069-0.003-0.295-0.001-0.24-0.078</f>
        <v>0.10399999999999988</v>
      </c>
    </row>
    <row r="345" spans="1:5" ht="28.5" x14ac:dyDescent="0.2">
      <c r="A345" s="34" t="s">
        <v>645</v>
      </c>
      <c r="B345" s="1" t="s">
        <v>16</v>
      </c>
      <c r="C345" s="12" t="s">
        <v>77</v>
      </c>
      <c r="D345" s="5" t="s">
        <v>438</v>
      </c>
      <c r="E345" s="25">
        <f>1.13-0.226-0.376-0.004-0.114-0.071-0.001-0.082-0.048-0.002</f>
        <v>0.20599999999999991</v>
      </c>
    </row>
    <row r="346" spans="1:5" ht="28.5" x14ac:dyDescent="0.2">
      <c r="A346" s="34" t="s">
        <v>645</v>
      </c>
      <c r="B346" s="1" t="s">
        <v>16</v>
      </c>
      <c r="C346" s="12" t="s">
        <v>77</v>
      </c>
      <c r="D346" s="5" t="s">
        <v>34</v>
      </c>
      <c r="E346" s="25">
        <f>4.48-1.12-1.121-1.12</f>
        <v>1.1190000000000002</v>
      </c>
    </row>
    <row r="347" spans="1:5" ht="28.5" x14ac:dyDescent="0.2">
      <c r="A347" s="34" t="s">
        <v>645</v>
      </c>
      <c r="B347" s="1" t="s">
        <v>16</v>
      </c>
      <c r="C347" s="12" t="s">
        <v>77</v>
      </c>
      <c r="D347" s="5" t="s">
        <v>567</v>
      </c>
      <c r="E347" s="23">
        <f>1.406-0.702-0.095-0.003-0.026-0.1</f>
        <v>0.48</v>
      </c>
    </row>
    <row r="348" spans="1:5" ht="28.5" x14ac:dyDescent="0.2">
      <c r="A348" s="34" t="s">
        <v>645</v>
      </c>
      <c r="B348" s="1" t="s">
        <v>16</v>
      </c>
      <c r="C348" s="12" t="s">
        <v>77</v>
      </c>
      <c r="D348" s="5" t="s">
        <v>40</v>
      </c>
      <c r="E348" s="23">
        <f>4.22-1.406-1.408</f>
        <v>1.4060000000000001</v>
      </c>
    </row>
    <row r="349" spans="1:5" ht="28.5" x14ac:dyDescent="0.2">
      <c r="A349" s="34" t="s">
        <v>645</v>
      </c>
      <c r="B349" s="1" t="s">
        <v>16</v>
      </c>
      <c r="C349" s="12" t="s">
        <v>77</v>
      </c>
      <c r="D349" s="12" t="s">
        <v>88</v>
      </c>
      <c r="E349" s="25">
        <f>3.4-1.692</f>
        <v>1.708</v>
      </c>
    </row>
    <row r="350" spans="1:5" ht="28.5" x14ac:dyDescent="0.2">
      <c r="A350" s="34" t="s">
        <v>645</v>
      </c>
      <c r="B350" s="1" t="s">
        <v>16</v>
      </c>
      <c r="C350" s="12" t="s">
        <v>77</v>
      </c>
      <c r="D350" s="12" t="s">
        <v>569</v>
      </c>
      <c r="E350" s="25">
        <f>1.692-0.152-0.106</f>
        <v>1.4339999999999999</v>
      </c>
    </row>
    <row r="351" spans="1:5" ht="28.5" x14ac:dyDescent="0.2">
      <c r="A351" s="34" t="s">
        <v>645</v>
      </c>
      <c r="B351" s="1" t="s">
        <v>16</v>
      </c>
      <c r="C351" s="12" t="s">
        <v>77</v>
      </c>
      <c r="D351" s="12" t="s">
        <v>88</v>
      </c>
      <c r="E351" s="25">
        <f>1.69</f>
        <v>1.69</v>
      </c>
    </row>
    <row r="352" spans="1:5" ht="28.5" x14ac:dyDescent="0.2">
      <c r="A352" s="34" t="s">
        <v>645</v>
      </c>
      <c r="B352" s="1" t="s">
        <v>16</v>
      </c>
      <c r="C352" s="12" t="s">
        <v>77</v>
      </c>
      <c r="D352" s="5" t="s">
        <v>568</v>
      </c>
      <c r="E352" s="25">
        <f>6.97-3.476-1.742-0.505+0.001-0.296-0.186+0.002-0.1-0.004-0.112-0.176-0.002-0.154</f>
        <v>0.21999999999999983</v>
      </c>
    </row>
    <row r="353" spans="1:5" ht="28.5" x14ac:dyDescent="0.2">
      <c r="A353" s="34" t="s">
        <v>645</v>
      </c>
      <c r="B353" s="1" t="s">
        <v>16</v>
      </c>
      <c r="C353" s="12" t="s">
        <v>77</v>
      </c>
      <c r="D353" s="5" t="s">
        <v>94</v>
      </c>
      <c r="E353" s="25">
        <f>15.17-1.692-1.65-1.688</f>
        <v>10.139999999999999</v>
      </c>
    </row>
    <row r="354" spans="1:5" ht="28.5" x14ac:dyDescent="0.2">
      <c r="A354" s="34" t="s">
        <v>645</v>
      </c>
      <c r="B354" s="1" t="s">
        <v>16</v>
      </c>
      <c r="C354" s="12" t="s">
        <v>77</v>
      </c>
      <c r="D354" s="5" t="s">
        <v>94</v>
      </c>
      <c r="E354" s="25">
        <f>1.71</f>
        <v>1.71</v>
      </c>
    </row>
    <row r="355" spans="1:5" ht="28.5" x14ac:dyDescent="0.2">
      <c r="A355" s="34" t="s">
        <v>645</v>
      </c>
      <c r="B355" s="1" t="s">
        <v>16</v>
      </c>
      <c r="C355" s="12" t="s">
        <v>77</v>
      </c>
      <c r="D355" s="5" t="s">
        <v>90</v>
      </c>
      <c r="E355" s="24">
        <f>10.16-1.666-1.718</f>
        <v>6.7759999999999998</v>
      </c>
    </row>
    <row r="356" spans="1:5" ht="28.5" x14ac:dyDescent="0.2">
      <c r="A356" s="34" t="s">
        <v>645</v>
      </c>
      <c r="B356" s="1" t="s">
        <v>16</v>
      </c>
      <c r="C356" s="12" t="s">
        <v>77</v>
      </c>
      <c r="D356" s="5" t="s">
        <v>562</v>
      </c>
      <c r="E356" s="24">
        <f>1.718-0.228-0.194-1.13-0.004</f>
        <v>0.16200000000000014</v>
      </c>
    </row>
    <row r="357" spans="1:5" ht="28.5" x14ac:dyDescent="0.2">
      <c r="A357" s="34" t="s">
        <v>645</v>
      </c>
      <c r="B357" s="1" t="s">
        <v>16</v>
      </c>
      <c r="C357" s="12" t="s">
        <v>77</v>
      </c>
      <c r="D357" s="5" t="s">
        <v>90</v>
      </c>
      <c r="E357" s="24">
        <f>6.81</f>
        <v>6.81</v>
      </c>
    </row>
    <row r="358" spans="1:5" ht="28.5" x14ac:dyDescent="0.2">
      <c r="A358" s="34" t="s">
        <v>645</v>
      </c>
      <c r="B358" s="1" t="s">
        <v>16</v>
      </c>
      <c r="C358" s="12" t="s">
        <v>77</v>
      </c>
      <c r="D358" s="12" t="s">
        <v>337</v>
      </c>
      <c r="E358" s="23">
        <f>1.833-0.135-1.182+0.002-0.24-0.005</f>
        <v>0.27300000000000002</v>
      </c>
    </row>
    <row r="359" spans="1:5" ht="28.5" x14ac:dyDescent="0.2">
      <c r="A359" s="34" t="s">
        <v>645</v>
      </c>
      <c r="B359" s="1" t="s">
        <v>16</v>
      </c>
      <c r="C359" s="1" t="s">
        <v>77</v>
      </c>
      <c r="D359" s="12" t="s">
        <v>398</v>
      </c>
      <c r="E359" s="23">
        <f>7.38-3.712-1.85-0.59+0.002-0.122-0.003-0.938+0.001</f>
        <v>0.16799999999999982</v>
      </c>
    </row>
    <row r="360" spans="1:5" ht="28.5" x14ac:dyDescent="0.2">
      <c r="A360" s="34" t="s">
        <v>645</v>
      </c>
      <c r="B360" s="1" t="s">
        <v>16</v>
      </c>
      <c r="C360" s="1" t="s">
        <v>77</v>
      </c>
      <c r="D360" s="12" t="s">
        <v>95</v>
      </c>
      <c r="E360" s="23">
        <f>16.95-1.87-1.872</f>
        <v>13.207999999999998</v>
      </c>
    </row>
    <row r="361" spans="1:5" ht="28.5" x14ac:dyDescent="0.2">
      <c r="A361" s="34" t="s">
        <v>645</v>
      </c>
      <c r="B361" s="1" t="s">
        <v>16</v>
      </c>
      <c r="C361" s="1" t="s">
        <v>77</v>
      </c>
      <c r="D361" s="12" t="s">
        <v>528</v>
      </c>
      <c r="E361" s="23">
        <f>1.87-0.7-0.23-0.036</f>
        <v>0.90400000000000014</v>
      </c>
    </row>
    <row r="362" spans="1:5" ht="28.5" x14ac:dyDescent="0.2">
      <c r="A362" s="34" t="s">
        <v>645</v>
      </c>
      <c r="B362" s="1" t="s">
        <v>16</v>
      </c>
      <c r="C362" s="1" t="s">
        <v>77</v>
      </c>
      <c r="D362" s="12" t="s">
        <v>563</v>
      </c>
      <c r="E362" s="23">
        <f>1.872-1.168</f>
        <v>0.70400000000000018</v>
      </c>
    </row>
    <row r="363" spans="1:5" ht="28.5" x14ac:dyDescent="0.2">
      <c r="A363" s="34" t="s">
        <v>645</v>
      </c>
      <c r="B363" s="1" t="s">
        <v>16</v>
      </c>
      <c r="C363" s="12" t="s">
        <v>77</v>
      </c>
      <c r="D363" s="12" t="s">
        <v>339</v>
      </c>
      <c r="E363" s="23">
        <f>1.832-0.83-0.774-0.008</f>
        <v>0.2200000000000002</v>
      </c>
    </row>
    <row r="364" spans="1:5" ht="28.5" x14ac:dyDescent="0.2">
      <c r="A364" s="34" t="s">
        <v>645</v>
      </c>
      <c r="B364" s="1" t="s">
        <v>16</v>
      </c>
      <c r="C364" s="12" t="s">
        <v>77</v>
      </c>
      <c r="D364" s="12" t="s">
        <v>529</v>
      </c>
      <c r="E364" s="23">
        <f>9.44-1.854-1.855-1.875-1.854-0.454-0.16</f>
        <v>1.3879999999999999</v>
      </c>
    </row>
    <row r="365" spans="1:5" ht="28.5" x14ac:dyDescent="0.2">
      <c r="A365" s="34" t="s">
        <v>645</v>
      </c>
      <c r="B365" s="1" t="s">
        <v>16</v>
      </c>
      <c r="C365" s="12" t="s">
        <v>77</v>
      </c>
      <c r="D365" s="12" t="s">
        <v>401</v>
      </c>
      <c r="E365" s="23">
        <f>1.854-0.838-0.568-0.008</f>
        <v>0.44000000000000006</v>
      </c>
    </row>
    <row r="366" spans="1:5" ht="28.5" x14ac:dyDescent="0.2">
      <c r="A366" s="34" t="s">
        <v>645</v>
      </c>
      <c r="B366" s="1" t="s">
        <v>16</v>
      </c>
      <c r="C366" s="12" t="s">
        <v>77</v>
      </c>
      <c r="D366" s="12" t="s">
        <v>219</v>
      </c>
      <c r="E366" s="23">
        <f>1.82-0.8</f>
        <v>1.02</v>
      </c>
    </row>
    <row r="367" spans="1:5" ht="28.5" x14ac:dyDescent="0.2">
      <c r="A367" s="34" t="s">
        <v>645</v>
      </c>
      <c r="B367" s="1" t="s">
        <v>16</v>
      </c>
      <c r="C367" s="12" t="s">
        <v>77</v>
      </c>
      <c r="D367" s="12" t="s">
        <v>180</v>
      </c>
      <c r="E367" s="23">
        <f>5.53-1.855-1.84</f>
        <v>1.8350000000000002</v>
      </c>
    </row>
    <row r="368" spans="1:5" ht="28.5" x14ac:dyDescent="0.2">
      <c r="A368" s="34" t="s">
        <v>645</v>
      </c>
      <c r="B368" s="1" t="s">
        <v>16</v>
      </c>
      <c r="C368" s="12" t="s">
        <v>77</v>
      </c>
      <c r="D368" s="12" t="s">
        <v>103</v>
      </c>
      <c r="E368" s="23">
        <f>5.61-1.875-1.842</f>
        <v>1.8930000000000002</v>
      </c>
    </row>
    <row r="369" spans="1:5" ht="28.5" x14ac:dyDescent="0.2">
      <c r="A369" s="34" t="s">
        <v>645</v>
      </c>
      <c r="B369" s="1" t="s">
        <v>16</v>
      </c>
      <c r="C369" s="12" t="s">
        <v>77</v>
      </c>
      <c r="D369" s="12" t="s">
        <v>603</v>
      </c>
      <c r="E369" s="23">
        <f>1.842-0.128-1.25</f>
        <v>0.46399999999999997</v>
      </c>
    </row>
    <row r="370" spans="1:5" ht="28.5" x14ac:dyDescent="0.2">
      <c r="A370" s="34" t="s">
        <v>645</v>
      </c>
      <c r="B370" s="1" t="s">
        <v>21</v>
      </c>
      <c r="C370" s="12" t="s">
        <v>77</v>
      </c>
      <c r="D370" s="12" t="s">
        <v>56</v>
      </c>
      <c r="E370" s="25">
        <f>4.13-0.84-0.416</f>
        <v>2.8740000000000001</v>
      </c>
    </row>
    <row r="371" spans="1:5" ht="28.5" x14ac:dyDescent="0.2">
      <c r="A371" s="34" t="s">
        <v>645</v>
      </c>
      <c r="B371" s="1" t="s">
        <v>21</v>
      </c>
      <c r="C371" s="12" t="s">
        <v>77</v>
      </c>
      <c r="D371" s="12" t="s">
        <v>437</v>
      </c>
      <c r="E371" s="25">
        <f>0.416-0.14-0.07</f>
        <v>0.20599999999999996</v>
      </c>
    </row>
    <row r="372" spans="1:5" ht="28.5" x14ac:dyDescent="0.2">
      <c r="A372" s="34" t="s">
        <v>645</v>
      </c>
      <c r="B372" s="1" t="s">
        <v>21</v>
      </c>
      <c r="C372" s="12" t="s">
        <v>77</v>
      </c>
      <c r="D372" s="12" t="s">
        <v>27</v>
      </c>
      <c r="E372" s="25">
        <f>4.44-0.54-1.115-0.57-0.556</f>
        <v>1.6590000000000003</v>
      </c>
    </row>
    <row r="373" spans="1:5" ht="28.5" x14ac:dyDescent="0.2">
      <c r="A373" s="34" t="s">
        <v>645</v>
      </c>
      <c r="B373" s="1" t="s">
        <v>21</v>
      </c>
      <c r="C373" s="12" t="s">
        <v>77</v>
      </c>
      <c r="D373" s="12" t="s">
        <v>328</v>
      </c>
      <c r="E373" s="25">
        <f>0.57-0.14-0.012</f>
        <v>0.41799999999999993</v>
      </c>
    </row>
    <row r="374" spans="1:5" ht="28.5" x14ac:dyDescent="0.2">
      <c r="A374" s="34" t="s">
        <v>645</v>
      </c>
      <c r="B374" s="1" t="s">
        <v>21</v>
      </c>
      <c r="C374" s="12" t="s">
        <v>77</v>
      </c>
      <c r="D374" s="5" t="s">
        <v>407</v>
      </c>
      <c r="E374" s="25">
        <f>0.712-0.296-0.254-0.004-0.08</f>
        <v>7.7999999999999972E-2</v>
      </c>
    </row>
    <row r="375" spans="1:5" ht="28.5" x14ac:dyDescent="0.2">
      <c r="A375" s="34" t="s">
        <v>645</v>
      </c>
      <c r="B375" s="1" t="s">
        <v>21</v>
      </c>
      <c r="C375" s="12" t="s">
        <v>77</v>
      </c>
      <c r="D375" s="5" t="s">
        <v>54</v>
      </c>
      <c r="E375" s="25">
        <f>4.26-1.71-0.854-0.842</f>
        <v>0.85399999999999976</v>
      </c>
    </row>
    <row r="376" spans="1:5" ht="28.5" x14ac:dyDescent="0.2">
      <c r="A376" s="34" t="s">
        <v>645</v>
      </c>
      <c r="B376" s="1" t="s">
        <v>21</v>
      </c>
      <c r="C376" s="12" t="s">
        <v>77</v>
      </c>
      <c r="D376" s="5" t="s">
        <v>454</v>
      </c>
      <c r="E376" s="25">
        <f>1.13-0.048-0.096+0.002-0.284-0.002-0.058-0.002-0.096</f>
        <v>0.54599999999999993</v>
      </c>
    </row>
    <row r="377" spans="1:5" ht="28.5" x14ac:dyDescent="0.2">
      <c r="A377" s="34" t="s">
        <v>645</v>
      </c>
      <c r="B377" s="1" t="s">
        <v>21</v>
      </c>
      <c r="C377" s="12" t="s">
        <v>77</v>
      </c>
      <c r="D377" s="5" t="s">
        <v>394</v>
      </c>
      <c r="E377" s="23">
        <f>1.404-0.178-0.072-0.062-0.518-0.002-0.339-0.003-0.026-0.024</f>
        <v>0.17999999999999983</v>
      </c>
    </row>
    <row r="378" spans="1:5" ht="28.5" x14ac:dyDescent="0.2">
      <c r="A378" s="34" t="s">
        <v>645</v>
      </c>
      <c r="B378" s="1" t="s">
        <v>21</v>
      </c>
      <c r="C378" s="12" t="s">
        <v>77</v>
      </c>
      <c r="D378" s="5" t="s">
        <v>40</v>
      </c>
      <c r="E378" s="23">
        <f>4.27-1.416</f>
        <v>2.8539999999999996</v>
      </c>
    </row>
    <row r="379" spans="1:5" ht="28.5" x14ac:dyDescent="0.2">
      <c r="A379" s="34" t="s">
        <v>645</v>
      </c>
      <c r="B379" s="1" t="s">
        <v>21</v>
      </c>
      <c r="C379" s="12" t="s">
        <v>77</v>
      </c>
      <c r="D379" s="5" t="s">
        <v>587</v>
      </c>
      <c r="E379" s="23">
        <f>1.416-0.356-0.274+0.004</f>
        <v>0.79</v>
      </c>
    </row>
    <row r="380" spans="1:5" ht="28.5" x14ac:dyDescent="0.2">
      <c r="A380" s="34" t="s">
        <v>645</v>
      </c>
      <c r="B380" s="1" t="s">
        <v>21</v>
      </c>
      <c r="C380" s="12" t="s">
        <v>77</v>
      </c>
      <c r="D380" s="12" t="s">
        <v>88</v>
      </c>
      <c r="E380" s="23">
        <f>5.1-1.69</f>
        <v>3.4099999999999997</v>
      </c>
    </row>
    <row r="381" spans="1:5" ht="28.5" x14ac:dyDescent="0.2">
      <c r="A381" s="34" t="s">
        <v>645</v>
      </c>
      <c r="B381" s="1" t="s">
        <v>21</v>
      </c>
      <c r="C381" s="12" t="s">
        <v>77</v>
      </c>
      <c r="D381" s="5" t="s">
        <v>588</v>
      </c>
      <c r="E381" s="23">
        <f>9.99-3.35-1.62-1.646-1.678-0.8-0.016-0.292+0.004</f>
        <v>0.59200000000000053</v>
      </c>
    </row>
    <row r="382" spans="1:5" ht="28.5" x14ac:dyDescent="0.2">
      <c r="A382" s="34" t="s">
        <v>645</v>
      </c>
      <c r="B382" s="1" t="s">
        <v>21</v>
      </c>
      <c r="C382" s="12" t="s">
        <v>77</v>
      </c>
      <c r="D382" s="5" t="s">
        <v>264</v>
      </c>
      <c r="E382" s="23">
        <f>1.646-1.096-0.313-0.001</f>
        <v>0.23599999999999982</v>
      </c>
    </row>
    <row r="383" spans="1:5" ht="28.5" x14ac:dyDescent="0.2">
      <c r="A383" s="34" t="s">
        <v>645</v>
      </c>
      <c r="B383" s="1" t="s">
        <v>21</v>
      </c>
      <c r="C383" s="12" t="s">
        <v>77</v>
      </c>
      <c r="D383" s="5" t="s">
        <v>320</v>
      </c>
      <c r="E383" s="23">
        <f>4.78-1.595</f>
        <v>3.1850000000000005</v>
      </c>
    </row>
    <row r="384" spans="1:5" ht="28.5" x14ac:dyDescent="0.2">
      <c r="A384" s="34" t="s">
        <v>645</v>
      </c>
      <c r="B384" s="1" t="s">
        <v>21</v>
      </c>
      <c r="C384" s="12" t="s">
        <v>77</v>
      </c>
      <c r="D384" s="5" t="s">
        <v>90</v>
      </c>
      <c r="E384" s="25">
        <f>5.21-1.748</f>
        <v>3.4619999999999997</v>
      </c>
    </row>
    <row r="385" spans="1:5" ht="28.5" x14ac:dyDescent="0.2">
      <c r="A385" s="34" t="s">
        <v>645</v>
      </c>
      <c r="B385" s="1" t="s">
        <v>21</v>
      </c>
      <c r="C385" s="12" t="s">
        <v>77</v>
      </c>
      <c r="D385" s="5" t="s">
        <v>604</v>
      </c>
      <c r="E385" s="25">
        <f>1.748-0.678-0.078-0.002-0.274-0.004-0.212</f>
        <v>0.49999999999999989</v>
      </c>
    </row>
    <row r="386" spans="1:5" ht="28.5" x14ac:dyDescent="0.2">
      <c r="A386" s="34" t="s">
        <v>645</v>
      </c>
      <c r="B386" s="1" t="s">
        <v>21</v>
      </c>
      <c r="C386" s="12" t="s">
        <v>77</v>
      </c>
      <c r="D386" s="12" t="s">
        <v>169</v>
      </c>
      <c r="E386" s="23">
        <f>1.82-0.48-0.978-0.01-0.242-0.002</f>
        <v>0.1080000000000001</v>
      </c>
    </row>
    <row r="387" spans="1:5" ht="28.5" x14ac:dyDescent="0.2">
      <c r="A387" s="34" t="s">
        <v>645</v>
      </c>
      <c r="B387" s="1" t="s">
        <v>21</v>
      </c>
      <c r="C387" s="12" t="s">
        <v>77</v>
      </c>
      <c r="D387" s="12" t="s">
        <v>255</v>
      </c>
      <c r="E387" s="23">
        <f>1.88-0.696-0.508-0.006-0.178-0.002-0.236-0.002</f>
        <v>0.25199999999999995</v>
      </c>
    </row>
    <row r="388" spans="1:5" ht="28.5" x14ac:dyDescent="0.2">
      <c r="A388" s="34" t="s">
        <v>645</v>
      </c>
      <c r="B388" s="1" t="s">
        <v>21</v>
      </c>
      <c r="C388" s="12" t="s">
        <v>77</v>
      </c>
      <c r="D388" s="5" t="s">
        <v>92</v>
      </c>
      <c r="E388" s="23">
        <f>5.65-1.876</f>
        <v>3.7740000000000005</v>
      </c>
    </row>
    <row r="389" spans="1:5" ht="28.5" x14ac:dyDescent="0.2">
      <c r="A389" s="34" t="s">
        <v>645</v>
      </c>
      <c r="B389" s="1" t="s">
        <v>21</v>
      </c>
      <c r="C389" s="12" t="s">
        <v>77</v>
      </c>
      <c r="D389" s="5" t="s">
        <v>548</v>
      </c>
      <c r="E389" s="23">
        <f>1.876-0.27-0.562-0.006</f>
        <v>1.0379999999999998</v>
      </c>
    </row>
    <row r="390" spans="1:5" ht="28.5" x14ac:dyDescent="0.2">
      <c r="A390" s="34" t="s">
        <v>645</v>
      </c>
      <c r="B390" s="1" t="s">
        <v>21</v>
      </c>
      <c r="C390" s="12" t="s">
        <v>77</v>
      </c>
      <c r="D390" s="12" t="s">
        <v>99</v>
      </c>
      <c r="E390" s="25">
        <f>5.66-1.89-1.914</f>
        <v>1.8560000000000005</v>
      </c>
    </row>
    <row r="391" spans="1:5" ht="28.5" x14ac:dyDescent="0.2">
      <c r="A391" s="34" t="s">
        <v>645</v>
      </c>
      <c r="B391" s="1" t="s">
        <v>21</v>
      </c>
      <c r="C391" s="12" t="s">
        <v>77</v>
      </c>
      <c r="D391" s="12" t="s">
        <v>516</v>
      </c>
      <c r="E391" s="25">
        <f>1.852-0.164-0.436-0.522-0.006</f>
        <v>0.7240000000000002</v>
      </c>
    </row>
    <row r="392" spans="1:5" ht="28.5" x14ac:dyDescent="0.2">
      <c r="A392" s="34" t="s">
        <v>645</v>
      </c>
      <c r="B392" s="1" t="s">
        <v>15</v>
      </c>
      <c r="C392" s="10" t="s">
        <v>178</v>
      </c>
      <c r="D392" s="16" t="s">
        <v>7</v>
      </c>
      <c r="E392" s="20">
        <f>3.946-2.014-0.032-0.316-0.031-0.032-0.032-0.032-0.032-0.512</f>
        <v>0.91300000000000026</v>
      </c>
    </row>
    <row r="393" spans="1:5" ht="28.5" x14ac:dyDescent="0.2">
      <c r="A393" s="34" t="s">
        <v>645</v>
      </c>
      <c r="B393" s="1" t="s">
        <v>15</v>
      </c>
      <c r="C393" s="10" t="s">
        <v>345</v>
      </c>
      <c r="D393" s="16" t="s">
        <v>7</v>
      </c>
      <c r="E393" s="20">
        <f>2.072</f>
        <v>2.0720000000000001</v>
      </c>
    </row>
    <row r="394" spans="1:5" ht="28.5" x14ac:dyDescent="0.2">
      <c r="A394" s="34" t="s">
        <v>645</v>
      </c>
      <c r="B394" s="1" t="s">
        <v>15</v>
      </c>
      <c r="C394" s="10" t="s">
        <v>345</v>
      </c>
      <c r="D394" s="16" t="s">
        <v>8</v>
      </c>
      <c r="E394" s="20">
        <f>2.068-0.046-0.142-0.574-0.048-0.048</f>
        <v>1.2100000000000004</v>
      </c>
    </row>
    <row r="395" spans="1:5" ht="28.5" x14ac:dyDescent="0.2">
      <c r="A395" s="34" t="s">
        <v>645</v>
      </c>
      <c r="B395" s="1" t="s">
        <v>15</v>
      </c>
      <c r="C395" s="10" t="s">
        <v>178</v>
      </c>
      <c r="D395" s="16" t="s">
        <v>179</v>
      </c>
      <c r="E395" s="20">
        <f>0.23-0.058-0.062-0.058</f>
        <v>5.2000000000000011E-2</v>
      </c>
    </row>
    <row r="396" spans="1:5" ht="28.5" x14ac:dyDescent="0.2">
      <c r="A396" s="34" t="s">
        <v>645</v>
      </c>
      <c r="B396" s="1" t="s">
        <v>15</v>
      </c>
      <c r="C396" s="10" t="s">
        <v>345</v>
      </c>
      <c r="D396" s="16" t="s">
        <v>9</v>
      </c>
      <c r="E396" s="20">
        <f>4.514-0.498-1-0.566-0.189-0.126-0.062-0.626-0.062-0.126-0.062-0.064-0.062-0.19-0.062</f>
        <v>0.81900000000000017</v>
      </c>
    </row>
    <row r="397" spans="1:5" ht="28.5" x14ac:dyDescent="0.2">
      <c r="A397" s="34" t="s">
        <v>645</v>
      </c>
      <c r="B397" s="1" t="s">
        <v>15</v>
      </c>
      <c r="C397" s="12" t="s">
        <v>76</v>
      </c>
      <c r="D397" s="19" t="s">
        <v>348</v>
      </c>
      <c r="E397" s="22">
        <f>0.344-0.058-0.144</f>
        <v>0.14199999999999999</v>
      </c>
    </row>
    <row r="398" spans="1:5" ht="28.5" x14ac:dyDescent="0.2">
      <c r="A398" s="34" t="s">
        <v>645</v>
      </c>
      <c r="B398" s="1" t="s">
        <v>15</v>
      </c>
      <c r="C398" s="12" t="s">
        <v>76</v>
      </c>
      <c r="D398" s="19" t="s">
        <v>70</v>
      </c>
      <c r="E398" s="22">
        <f>2.11-0.35-0.351</f>
        <v>1.4089999999999998</v>
      </c>
    </row>
    <row r="399" spans="1:5" ht="28.5" x14ac:dyDescent="0.2">
      <c r="A399" s="34" t="s">
        <v>645</v>
      </c>
      <c r="B399" s="1" t="s">
        <v>15</v>
      </c>
      <c r="C399" s="12" t="s">
        <v>76</v>
      </c>
      <c r="D399" s="19" t="s">
        <v>559</v>
      </c>
      <c r="E399" s="22">
        <f>0.351-0.175</f>
        <v>0.17599999999999999</v>
      </c>
    </row>
    <row r="400" spans="1:5" ht="28.5" x14ac:dyDescent="0.2">
      <c r="A400" s="34" t="s">
        <v>645</v>
      </c>
      <c r="B400" s="1" t="s">
        <v>15</v>
      </c>
      <c r="C400" s="12" t="s">
        <v>402</v>
      </c>
      <c r="D400" s="19" t="s">
        <v>110</v>
      </c>
      <c r="E400" s="22">
        <f>2.15</f>
        <v>2.15</v>
      </c>
    </row>
    <row r="401" spans="1:5" ht="28.5" x14ac:dyDescent="0.2">
      <c r="A401" s="34" t="s">
        <v>645</v>
      </c>
      <c r="B401" s="1" t="s">
        <v>15</v>
      </c>
      <c r="C401" s="12" t="s">
        <v>76</v>
      </c>
      <c r="D401" s="9" t="s">
        <v>56</v>
      </c>
      <c r="E401" s="22">
        <f>2.12-0.405-0.424-1.272</f>
        <v>1.9000000000000128E-2</v>
      </c>
    </row>
    <row r="402" spans="1:5" ht="28.5" x14ac:dyDescent="0.2">
      <c r="A402" s="34" t="s">
        <v>645</v>
      </c>
      <c r="B402" s="5" t="s">
        <v>15</v>
      </c>
      <c r="C402" s="12" t="s">
        <v>76</v>
      </c>
      <c r="D402" s="5" t="s">
        <v>605</v>
      </c>
      <c r="E402" s="24">
        <f>4.42-0.556-0.532-0.556-0.558-0.558-0.552-0.558-0.186+0.004-0.057+0.001-0.025-0.001-0.048+0.002-0.144</f>
        <v>9.5999999999999835E-2</v>
      </c>
    </row>
    <row r="403" spans="1:5" ht="28.5" x14ac:dyDescent="0.2">
      <c r="A403" s="34" t="s">
        <v>645</v>
      </c>
      <c r="B403" s="5" t="s">
        <v>15</v>
      </c>
      <c r="C403" s="12" t="s">
        <v>76</v>
      </c>
      <c r="D403" s="5" t="s">
        <v>27</v>
      </c>
      <c r="E403" s="24">
        <f>3.93-1.132-0.556-1.118-0.559</f>
        <v>0.56499999999999984</v>
      </c>
    </row>
    <row r="404" spans="1:5" ht="28.5" x14ac:dyDescent="0.2">
      <c r="A404" s="34" t="s">
        <v>645</v>
      </c>
      <c r="B404" s="5" t="s">
        <v>15</v>
      </c>
      <c r="C404" s="5" t="s">
        <v>399</v>
      </c>
      <c r="D404" s="5" t="s">
        <v>286</v>
      </c>
      <c r="E404" s="24">
        <f>1.45-0.948</f>
        <v>0.502</v>
      </c>
    </row>
    <row r="405" spans="1:5" ht="28.5" x14ac:dyDescent="0.2">
      <c r="A405" s="34" t="s">
        <v>645</v>
      </c>
      <c r="B405" s="5" t="s">
        <v>15</v>
      </c>
      <c r="C405" s="12" t="s">
        <v>76</v>
      </c>
      <c r="D405" s="5" t="s">
        <v>331</v>
      </c>
      <c r="E405" s="24">
        <f>0.54</f>
        <v>0.54</v>
      </c>
    </row>
    <row r="406" spans="1:5" ht="28.5" x14ac:dyDescent="0.2">
      <c r="A406" s="34" t="s">
        <v>645</v>
      </c>
      <c r="B406" s="5" t="s">
        <v>15</v>
      </c>
      <c r="C406" s="12" t="s">
        <v>402</v>
      </c>
      <c r="D406" s="5" t="s">
        <v>27</v>
      </c>
      <c r="E406" s="24">
        <f>4.46-1.11</f>
        <v>3.3499999999999996</v>
      </c>
    </row>
    <row r="407" spans="1:5" ht="28.5" x14ac:dyDescent="0.2">
      <c r="A407" s="34" t="s">
        <v>645</v>
      </c>
      <c r="B407" s="5" t="s">
        <v>15</v>
      </c>
      <c r="C407" s="12" t="s">
        <v>402</v>
      </c>
      <c r="D407" s="5" t="s">
        <v>12</v>
      </c>
      <c r="E407" s="24">
        <f>4.11-0.685</f>
        <v>3.4250000000000003</v>
      </c>
    </row>
    <row r="408" spans="1:5" ht="28.5" x14ac:dyDescent="0.2">
      <c r="A408" s="34" t="s">
        <v>645</v>
      </c>
      <c r="B408" s="5" t="s">
        <v>15</v>
      </c>
      <c r="C408" s="12" t="s">
        <v>402</v>
      </c>
      <c r="D408" s="5" t="s">
        <v>606</v>
      </c>
      <c r="E408" s="24">
        <f>0.685-0.08-0.036-0.038-0.36</f>
        <v>0.17100000000000004</v>
      </c>
    </row>
    <row r="409" spans="1:5" ht="28.5" x14ac:dyDescent="0.2">
      <c r="A409" s="34" t="s">
        <v>645</v>
      </c>
      <c r="B409" s="5" t="s">
        <v>15</v>
      </c>
      <c r="C409" s="5" t="s">
        <v>399</v>
      </c>
      <c r="D409" s="5" t="s">
        <v>54</v>
      </c>
      <c r="E409" s="24">
        <f>1.655-0.825</f>
        <v>0.83000000000000007</v>
      </c>
    </row>
    <row r="410" spans="1:5" ht="28.5" x14ac:dyDescent="0.2">
      <c r="A410" s="34" t="s">
        <v>645</v>
      </c>
      <c r="B410" s="5" t="s">
        <v>15</v>
      </c>
      <c r="C410" s="5" t="s">
        <v>399</v>
      </c>
      <c r="D410" s="5" t="s">
        <v>593</v>
      </c>
      <c r="E410" s="22">
        <f>4.945-0.82-1.636-0.83-0.826-0.15-0.011</f>
        <v>0.67199999999999982</v>
      </c>
    </row>
    <row r="411" spans="1:5" ht="28.5" x14ac:dyDescent="0.2">
      <c r="A411" s="34" t="s">
        <v>645</v>
      </c>
      <c r="B411" s="5" t="s">
        <v>15</v>
      </c>
      <c r="C411" s="12" t="s">
        <v>76</v>
      </c>
      <c r="D411" s="5" t="s">
        <v>210</v>
      </c>
      <c r="E411" s="22">
        <f>4.01-1.616-0.8-0.85</f>
        <v>0.74399999999999966</v>
      </c>
    </row>
    <row r="412" spans="1:5" ht="28.5" x14ac:dyDescent="0.2">
      <c r="A412" s="34" t="s">
        <v>645</v>
      </c>
      <c r="B412" s="5" t="s">
        <v>15</v>
      </c>
      <c r="C412" s="12" t="s">
        <v>76</v>
      </c>
      <c r="D412" s="5" t="s">
        <v>607</v>
      </c>
      <c r="E412" s="22">
        <f>0.85-0.238-0.29</f>
        <v>0.32200000000000001</v>
      </c>
    </row>
    <row r="413" spans="1:5" ht="28.5" x14ac:dyDescent="0.2">
      <c r="A413" s="34" t="s">
        <v>645</v>
      </c>
      <c r="B413" s="5" t="s">
        <v>15</v>
      </c>
      <c r="C413" s="12" t="s">
        <v>402</v>
      </c>
      <c r="D413" s="5" t="s">
        <v>450</v>
      </c>
      <c r="E413" s="22">
        <f>0.833-0.381-0.372</f>
        <v>7.999999999999996E-2</v>
      </c>
    </row>
    <row r="414" spans="1:5" ht="28.5" x14ac:dyDescent="0.2">
      <c r="A414" s="34" t="s">
        <v>645</v>
      </c>
      <c r="B414" s="5" t="s">
        <v>15</v>
      </c>
      <c r="C414" s="12" t="s">
        <v>402</v>
      </c>
      <c r="D414" s="5" t="s">
        <v>512</v>
      </c>
      <c r="E414" s="22">
        <f>0.833-0.092-0.13-0.112-0.212-0.001-0.182</f>
        <v>0.10400000000000004</v>
      </c>
    </row>
    <row r="415" spans="1:5" ht="28.5" x14ac:dyDescent="0.2">
      <c r="A415" s="34" t="s">
        <v>645</v>
      </c>
      <c r="B415" s="5" t="s">
        <v>15</v>
      </c>
      <c r="C415" s="12" t="s">
        <v>402</v>
      </c>
      <c r="D415" s="5" t="s">
        <v>54</v>
      </c>
      <c r="E415" s="22">
        <f>4.07</f>
        <v>4.07</v>
      </c>
    </row>
    <row r="416" spans="1:5" ht="28.5" x14ac:dyDescent="0.2">
      <c r="A416" s="34" t="s">
        <v>645</v>
      </c>
      <c r="B416" s="5" t="s">
        <v>15</v>
      </c>
      <c r="C416" s="12" t="s">
        <v>76</v>
      </c>
      <c r="D416" s="5" t="s">
        <v>354</v>
      </c>
      <c r="E416" s="22">
        <f>0.962-0.162-0.198-0.002-0.082-0.319-0.082-0.048-0.007</f>
        <v>6.1999999999999895E-2</v>
      </c>
    </row>
    <row r="417" spans="1:5" ht="28.5" x14ac:dyDescent="0.2">
      <c r="A417" s="34" t="s">
        <v>645</v>
      </c>
      <c r="B417" s="5" t="s">
        <v>15</v>
      </c>
      <c r="C417" s="12" t="s">
        <v>76</v>
      </c>
      <c r="D417" s="5" t="s">
        <v>353</v>
      </c>
      <c r="E417" s="22">
        <f>0.048</f>
        <v>4.8000000000000001E-2</v>
      </c>
    </row>
    <row r="418" spans="1:5" ht="28.5" x14ac:dyDescent="0.2">
      <c r="A418" s="34" t="s">
        <v>645</v>
      </c>
      <c r="B418" s="5" t="s">
        <v>15</v>
      </c>
      <c r="C418" s="12" t="s">
        <v>76</v>
      </c>
      <c r="D418" s="5" t="s">
        <v>412</v>
      </c>
      <c r="E418" s="22">
        <f>1.91-0.96-0.482+0.012-0.32-0.082</f>
        <v>7.7999999999999972E-2</v>
      </c>
    </row>
    <row r="419" spans="1:5" ht="28.5" x14ac:dyDescent="0.2">
      <c r="A419" s="34" t="s">
        <v>645</v>
      </c>
      <c r="B419" s="5" t="s">
        <v>15</v>
      </c>
      <c r="C419" s="12" t="s">
        <v>402</v>
      </c>
      <c r="D419" s="5" t="s">
        <v>80</v>
      </c>
      <c r="E419" s="24">
        <f>3.9-0.975</f>
        <v>2.9249999999999998</v>
      </c>
    </row>
    <row r="420" spans="1:5" ht="28.5" x14ac:dyDescent="0.2">
      <c r="A420" s="34" t="s">
        <v>645</v>
      </c>
      <c r="B420" s="5" t="s">
        <v>15</v>
      </c>
      <c r="C420" s="12" t="s">
        <v>402</v>
      </c>
      <c r="D420" s="5" t="s">
        <v>608</v>
      </c>
      <c r="E420" s="24">
        <f>0.975-0.085</f>
        <v>0.89</v>
      </c>
    </row>
    <row r="421" spans="1:5" ht="28.5" x14ac:dyDescent="0.2">
      <c r="A421" s="34" t="s">
        <v>645</v>
      </c>
      <c r="B421" s="5" t="s">
        <v>15</v>
      </c>
      <c r="C421" s="12" t="s">
        <v>402</v>
      </c>
      <c r="D421" s="5" t="s">
        <v>34</v>
      </c>
      <c r="E421" s="22">
        <f>4.45-1.122-1.13</f>
        <v>2.1980000000000004</v>
      </c>
    </row>
    <row r="422" spans="1:5" ht="28.5" x14ac:dyDescent="0.2">
      <c r="A422" s="34" t="s">
        <v>645</v>
      </c>
      <c r="B422" s="5" t="s">
        <v>15</v>
      </c>
      <c r="C422" s="12" t="s">
        <v>402</v>
      </c>
      <c r="D422" s="5" t="s">
        <v>609</v>
      </c>
      <c r="E422" s="22">
        <f>1.13-0.127</f>
        <v>1.0029999999999999</v>
      </c>
    </row>
    <row r="423" spans="1:5" ht="28.5" x14ac:dyDescent="0.2">
      <c r="A423" s="34" t="s">
        <v>645</v>
      </c>
      <c r="B423" s="1" t="s">
        <v>15</v>
      </c>
      <c r="C423" s="5" t="s">
        <v>399</v>
      </c>
      <c r="D423" s="5" t="s">
        <v>430</v>
      </c>
      <c r="E423" s="24">
        <f>1.105-0.025+0.01-0.074-0.052-0.004-0.694-0.048-0.142-0.002</f>
        <v>7.4000000000000038E-2</v>
      </c>
    </row>
    <row r="424" spans="1:5" ht="28.5" x14ac:dyDescent="0.2">
      <c r="A424" s="34" t="s">
        <v>645</v>
      </c>
      <c r="B424" s="1" t="s">
        <v>15</v>
      </c>
      <c r="C424" s="12" t="s">
        <v>402</v>
      </c>
      <c r="D424" s="5" t="s">
        <v>591</v>
      </c>
      <c r="E424" s="24">
        <f>7.04-1.412-1.408</f>
        <v>4.2200000000000006</v>
      </c>
    </row>
    <row r="425" spans="1:5" ht="28.5" x14ac:dyDescent="0.2">
      <c r="A425" s="34" t="s">
        <v>645</v>
      </c>
      <c r="B425" s="5" t="s">
        <v>15</v>
      </c>
      <c r="C425" s="12" t="s">
        <v>402</v>
      </c>
      <c r="D425" s="5" t="s">
        <v>88</v>
      </c>
      <c r="E425" s="24">
        <f>7.03-1.77-1.73</f>
        <v>3.53</v>
      </c>
    </row>
    <row r="426" spans="1:5" ht="28.5" x14ac:dyDescent="0.2">
      <c r="A426" s="34" t="s">
        <v>645</v>
      </c>
      <c r="B426" s="5" t="s">
        <v>15</v>
      </c>
      <c r="C426" s="12" t="s">
        <v>402</v>
      </c>
      <c r="D426" s="5" t="s">
        <v>594</v>
      </c>
      <c r="E426" s="24">
        <f>1.73-0.297</f>
        <v>1.4330000000000001</v>
      </c>
    </row>
    <row r="427" spans="1:5" ht="28.5" x14ac:dyDescent="0.2">
      <c r="A427" s="34" t="s">
        <v>645</v>
      </c>
      <c r="B427" s="1" t="s">
        <v>15</v>
      </c>
      <c r="C427" s="12" t="s">
        <v>76</v>
      </c>
      <c r="D427" s="5" t="s">
        <v>525</v>
      </c>
      <c r="E427" s="24">
        <f>1.702-1.006-0.364</f>
        <v>0.33199999999999996</v>
      </c>
    </row>
    <row r="428" spans="1:5" ht="28.5" x14ac:dyDescent="0.2">
      <c r="A428" s="34" t="s">
        <v>645</v>
      </c>
      <c r="B428" s="1" t="s">
        <v>15</v>
      </c>
      <c r="C428" s="12" t="s">
        <v>402</v>
      </c>
      <c r="D428" s="5" t="s">
        <v>94</v>
      </c>
      <c r="E428" s="24">
        <f>10.25-1.708-1.722-1.698-1.71</f>
        <v>3.4119999999999999</v>
      </c>
    </row>
    <row r="429" spans="1:5" ht="28.5" x14ac:dyDescent="0.2">
      <c r="A429" s="34" t="s">
        <v>645</v>
      </c>
      <c r="B429" s="1" t="s">
        <v>15</v>
      </c>
      <c r="C429" s="12" t="s">
        <v>402</v>
      </c>
      <c r="D429" s="5" t="s">
        <v>524</v>
      </c>
      <c r="E429" s="24">
        <f>1.722-0.5-0.65-0.032-0.002-0.072-0.002</f>
        <v>0.46399999999999991</v>
      </c>
    </row>
    <row r="430" spans="1:5" ht="28.5" x14ac:dyDescent="0.2">
      <c r="A430" s="34" t="s">
        <v>645</v>
      </c>
      <c r="B430" s="1" t="s">
        <v>15</v>
      </c>
      <c r="C430" s="12" t="s">
        <v>402</v>
      </c>
      <c r="D430" s="5" t="s">
        <v>610</v>
      </c>
      <c r="E430" s="24">
        <f>1.71-0.895</f>
        <v>0.81499999999999995</v>
      </c>
    </row>
    <row r="431" spans="1:5" ht="28.5" x14ac:dyDescent="0.2">
      <c r="A431" s="34" t="s">
        <v>645</v>
      </c>
      <c r="B431" s="1" t="s">
        <v>15</v>
      </c>
      <c r="C431" s="12" t="s">
        <v>402</v>
      </c>
      <c r="D431" s="5" t="s">
        <v>510</v>
      </c>
      <c r="E431" s="24">
        <f>1.698-0.716</f>
        <v>0.98199999999999998</v>
      </c>
    </row>
    <row r="432" spans="1:5" ht="28.5" x14ac:dyDescent="0.2">
      <c r="A432" s="34" t="s">
        <v>645</v>
      </c>
      <c r="B432" s="1" t="s">
        <v>15</v>
      </c>
      <c r="C432" s="12" t="s">
        <v>402</v>
      </c>
      <c r="D432" s="5" t="s">
        <v>94</v>
      </c>
      <c r="E432" s="24">
        <f>3.32</f>
        <v>3.32</v>
      </c>
    </row>
    <row r="433" spans="1:5" ht="28.5" x14ac:dyDescent="0.2">
      <c r="A433" s="34" t="s">
        <v>645</v>
      </c>
      <c r="B433" s="1" t="s">
        <v>15</v>
      </c>
      <c r="C433" s="12" t="s">
        <v>402</v>
      </c>
      <c r="D433" s="5" t="s">
        <v>230</v>
      </c>
      <c r="E433" s="24">
        <f>3.43</f>
        <v>3.43</v>
      </c>
    </row>
    <row r="434" spans="1:5" ht="28.5" x14ac:dyDescent="0.2">
      <c r="A434" s="34" t="s">
        <v>645</v>
      </c>
      <c r="B434" s="1" t="s">
        <v>15</v>
      </c>
      <c r="C434" s="12" t="s">
        <v>402</v>
      </c>
      <c r="D434" s="5" t="s">
        <v>611</v>
      </c>
      <c r="E434" s="24">
        <f>1.63-0.044</f>
        <v>1.5859999999999999</v>
      </c>
    </row>
    <row r="435" spans="1:5" ht="28.5" x14ac:dyDescent="0.2">
      <c r="A435" s="34" t="s">
        <v>645</v>
      </c>
      <c r="B435" s="1" t="s">
        <v>15</v>
      </c>
      <c r="C435" s="5" t="s">
        <v>402</v>
      </c>
      <c r="D435" s="5" t="s">
        <v>522</v>
      </c>
      <c r="E435" s="25">
        <f>1.67-0.67-0.632-0.002-0.054-0.004</f>
        <v>0.30799999999999988</v>
      </c>
    </row>
    <row r="436" spans="1:5" ht="28.5" x14ac:dyDescent="0.2">
      <c r="A436" s="34" t="s">
        <v>645</v>
      </c>
      <c r="B436" s="1" t="s">
        <v>15</v>
      </c>
      <c r="C436" s="5" t="s">
        <v>402</v>
      </c>
      <c r="D436" s="5" t="s">
        <v>90</v>
      </c>
      <c r="E436" s="25">
        <f>4.99-1.67-1.67</f>
        <v>1.6500000000000004</v>
      </c>
    </row>
    <row r="437" spans="1:5" ht="28.5" x14ac:dyDescent="0.2">
      <c r="A437" s="34" t="s">
        <v>645</v>
      </c>
      <c r="B437" s="1" t="s">
        <v>15</v>
      </c>
      <c r="C437" s="5" t="s">
        <v>402</v>
      </c>
      <c r="D437" s="5" t="s">
        <v>612</v>
      </c>
      <c r="E437" s="25">
        <f>1.67-1.044</f>
        <v>0.62599999999999989</v>
      </c>
    </row>
    <row r="438" spans="1:5" ht="28.5" x14ac:dyDescent="0.2">
      <c r="A438" s="34" t="s">
        <v>645</v>
      </c>
      <c r="B438" s="1" t="s">
        <v>15</v>
      </c>
      <c r="C438" s="5" t="s">
        <v>402</v>
      </c>
      <c r="D438" s="5" t="s">
        <v>573</v>
      </c>
      <c r="E438" s="25">
        <f>12.22</f>
        <v>12.22</v>
      </c>
    </row>
    <row r="439" spans="1:5" ht="28.5" x14ac:dyDescent="0.2">
      <c r="A439" s="34" t="s">
        <v>645</v>
      </c>
      <c r="B439" s="1" t="s">
        <v>15</v>
      </c>
      <c r="C439" s="5" t="s">
        <v>402</v>
      </c>
      <c r="D439" s="5" t="s">
        <v>574</v>
      </c>
      <c r="E439" s="25">
        <f>5.56</f>
        <v>5.56</v>
      </c>
    </row>
    <row r="440" spans="1:5" ht="28.5" x14ac:dyDescent="0.2">
      <c r="A440" s="34" t="s">
        <v>645</v>
      </c>
      <c r="B440" s="5" t="s">
        <v>15</v>
      </c>
      <c r="C440" s="5" t="s">
        <v>76</v>
      </c>
      <c r="D440" s="5" t="s">
        <v>290</v>
      </c>
      <c r="E440" s="22">
        <f>7.25-1.8-1.812-1.748-0.922-0.166-0.062-0.326-0.002</f>
        <v>0.41199999999999976</v>
      </c>
    </row>
    <row r="441" spans="1:5" ht="28.5" x14ac:dyDescent="0.2">
      <c r="A441" s="34" t="s">
        <v>645</v>
      </c>
      <c r="B441" s="5" t="s">
        <v>15</v>
      </c>
      <c r="C441" s="5" t="s">
        <v>76</v>
      </c>
      <c r="D441" s="5" t="s">
        <v>363</v>
      </c>
      <c r="E441" s="22">
        <f>1.825-0.298+0.003-0.576-0.47-0.004</f>
        <v>0.47999999999999987</v>
      </c>
    </row>
    <row r="442" spans="1:5" ht="28.5" x14ac:dyDescent="0.2">
      <c r="A442" s="34" t="s">
        <v>645</v>
      </c>
      <c r="B442" s="5" t="s">
        <v>15</v>
      </c>
      <c r="C442" s="12" t="s">
        <v>76</v>
      </c>
      <c r="D442" s="5" t="s">
        <v>417</v>
      </c>
      <c r="E442" s="22">
        <f>3.55-1.77-1.15-0.04-0.236-0.002</f>
        <v>0.35199999999999987</v>
      </c>
    </row>
    <row r="443" spans="1:5" ht="28.5" x14ac:dyDescent="0.2">
      <c r="A443" s="34" t="s">
        <v>645</v>
      </c>
      <c r="B443" s="5" t="s">
        <v>15</v>
      </c>
      <c r="C443" s="12" t="s">
        <v>76</v>
      </c>
      <c r="D443" s="5" t="s">
        <v>613</v>
      </c>
      <c r="E443" s="22">
        <f>1.77-0.574-0.28-0.002-0.65</f>
        <v>0.26400000000000012</v>
      </c>
    </row>
    <row r="444" spans="1:5" ht="28.5" x14ac:dyDescent="0.2">
      <c r="A444" s="34" t="s">
        <v>645</v>
      </c>
      <c r="B444" s="5" t="s">
        <v>15</v>
      </c>
      <c r="C444" s="12" t="s">
        <v>281</v>
      </c>
      <c r="D444" s="5" t="s">
        <v>282</v>
      </c>
      <c r="E444" s="22">
        <f>8.85-2.23-2.2</f>
        <v>4.419999999999999</v>
      </c>
    </row>
    <row r="445" spans="1:5" ht="28.5" x14ac:dyDescent="0.2">
      <c r="A445" s="34" t="s">
        <v>645</v>
      </c>
      <c r="B445" s="5" t="s">
        <v>15</v>
      </c>
      <c r="C445" s="12" t="s">
        <v>281</v>
      </c>
      <c r="D445" s="5" t="s">
        <v>614</v>
      </c>
      <c r="E445" s="22">
        <f>2.2-1.11</f>
        <v>1.0900000000000001</v>
      </c>
    </row>
    <row r="446" spans="1:5" ht="28.5" x14ac:dyDescent="0.2">
      <c r="A446" s="34" t="s">
        <v>645</v>
      </c>
      <c r="B446" s="5" t="s">
        <v>15</v>
      </c>
      <c r="C446" s="5" t="s">
        <v>402</v>
      </c>
      <c r="D446" s="5" t="s">
        <v>95</v>
      </c>
      <c r="E446" s="24">
        <f>5.4-1.78</f>
        <v>3.62</v>
      </c>
    </row>
    <row r="447" spans="1:5" ht="28.5" x14ac:dyDescent="0.2">
      <c r="A447" s="34" t="s">
        <v>645</v>
      </c>
      <c r="B447" s="5" t="s">
        <v>15</v>
      </c>
      <c r="C447" s="5" t="s">
        <v>402</v>
      </c>
      <c r="D447" s="5" t="s">
        <v>455</v>
      </c>
      <c r="E447" s="24">
        <f>1.78-1.18</f>
        <v>0.60000000000000009</v>
      </c>
    </row>
    <row r="448" spans="1:5" ht="28.5" x14ac:dyDescent="0.2">
      <c r="A448" s="34" t="s">
        <v>645</v>
      </c>
      <c r="B448" s="5" t="s">
        <v>15</v>
      </c>
      <c r="C448" s="5" t="s">
        <v>402</v>
      </c>
      <c r="D448" s="5" t="s">
        <v>95</v>
      </c>
      <c r="E448" s="24">
        <f>7.43</f>
        <v>7.43</v>
      </c>
    </row>
    <row r="449" spans="1:5" ht="28.5" x14ac:dyDescent="0.2">
      <c r="A449" s="34" t="s">
        <v>645</v>
      </c>
      <c r="B449" s="5" t="s">
        <v>15</v>
      </c>
      <c r="C449" s="5" t="s">
        <v>402</v>
      </c>
      <c r="D449" s="5" t="s">
        <v>575</v>
      </c>
      <c r="E449" s="24">
        <f>5.54</f>
        <v>5.54</v>
      </c>
    </row>
    <row r="450" spans="1:5" ht="28.5" x14ac:dyDescent="0.2">
      <c r="A450" s="34" t="s">
        <v>645</v>
      </c>
      <c r="B450" s="5" t="s">
        <v>15</v>
      </c>
      <c r="C450" s="5" t="s">
        <v>76</v>
      </c>
      <c r="D450" s="5" t="s">
        <v>392</v>
      </c>
      <c r="E450" s="22">
        <f>1.816-0.34-0.426+0.002-0.369-0.003-0.134</f>
        <v>0.54600000000000004</v>
      </c>
    </row>
    <row r="451" spans="1:5" ht="28.5" x14ac:dyDescent="0.2">
      <c r="A451" s="34" t="s">
        <v>645</v>
      </c>
      <c r="B451" s="5" t="s">
        <v>15</v>
      </c>
      <c r="C451" s="12" t="s">
        <v>76</v>
      </c>
      <c r="D451" s="5" t="s">
        <v>92</v>
      </c>
      <c r="E451" s="24">
        <f>5.56-1.864-1.85</f>
        <v>1.8459999999999996</v>
      </c>
    </row>
    <row r="452" spans="1:5" ht="28.5" x14ac:dyDescent="0.2">
      <c r="A452" s="34" t="s">
        <v>645</v>
      </c>
      <c r="B452" s="5" t="s">
        <v>15</v>
      </c>
      <c r="C452" s="12" t="s">
        <v>76</v>
      </c>
      <c r="D452" s="5" t="s">
        <v>615</v>
      </c>
      <c r="E452" s="24">
        <f>1.85-0.8</f>
        <v>1.05</v>
      </c>
    </row>
    <row r="453" spans="1:5" ht="28.5" x14ac:dyDescent="0.2">
      <c r="A453" s="34" t="s">
        <v>645</v>
      </c>
      <c r="B453" s="5" t="s">
        <v>15</v>
      </c>
      <c r="C453" s="12" t="s">
        <v>402</v>
      </c>
      <c r="D453" s="5" t="s">
        <v>92</v>
      </c>
      <c r="E453" s="24">
        <f>5.4</f>
        <v>5.4</v>
      </c>
    </row>
    <row r="454" spans="1:5" ht="28.5" x14ac:dyDescent="0.2">
      <c r="A454" s="34" t="s">
        <v>645</v>
      </c>
      <c r="B454" s="5" t="s">
        <v>15</v>
      </c>
      <c r="C454" s="5" t="s">
        <v>174</v>
      </c>
      <c r="D454" s="5" t="s">
        <v>172</v>
      </c>
      <c r="E454" s="22">
        <f>1.302-0.42-0.157-0.409</f>
        <v>0.31600000000000011</v>
      </c>
    </row>
    <row r="455" spans="1:5" ht="28.5" x14ac:dyDescent="0.2">
      <c r="A455" s="34" t="s">
        <v>645</v>
      </c>
      <c r="B455" s="1" t="s">
        <v>15</v>
      </c>
      <c r="C455" s="12" t="s">
        <v>76</v>
      </c>
      <c r="D455" s="5" t="s">
        <v>266</v>
      </c>
      <c r="E455" s="24">
        <f>5.36+5.41-5.41</f>
        <v>5.3599999999999994</v>
      </c>
    </row>
    <row r="456" spans="1:5" ht="28.5" x14ac:dyDescent="0.2">
      <c r="A456" s="34" t="s">
        <v>645</v>
      </c>
      <c r="B456" s="1" t="s">
        <v>15</v>
      </c>
      <c r="C456" s="12" t="s">
        <v>402</v>
      </c>
      <c r="D456" s="5" t="s">
        <v>576</v>
      </c>
      <c r="E456" s="24">
        <f>5.5</f>
        <v>5.5</v>
      </c>
    </row>
    <row r="457" spans="1:5" ht="28.5" x14ac:dyDescent="0.2">
      <c r="A457" s="34" t="s">
        <v>645</v>
      </c>
      <c r="B457" s="5" t="s">
        <v>15</v>
      </c>
      <c r="C457" s="12" t="s">
        <v>76</v>
      </c>
      <c r="D457" s="5" t="s">
        <v>124</v>
      </c>
      <c r="E457" s="22">
        <f>1.8-0.53-0.288-0.29-0.414-0.07</f>
        <v>0.20799999999999996</v>
      </c>
    </row>
    <row r="458" spans="1:5" ht="28.5" x14ac:dyDescent="0.2">
      <c r="A458" s="34" t="s">
        <v>645</v>
      </c>
      <c r="B458" s="1" t="s">
        <v>15</v>
      </c>
      <c r="C458" s="12" t="s">
        <v>76</v>
      </c>
      <c r="D458" s="5" t="s">
        <v>449</v>
      </c>
      <c r="E458" s="24">
        <f>1.766-0.212-0.506-0.002-0.534-0.002-0.266-0.004</f>
        <v>0.24</v>
      </c>
    </row>
    <row r="459" spans="1:5" ht="28.5" x14ac:dyDescent="0.2">
      <c r="A459" s="34" t="s">
        <v>645</v>
      </c>
      <c r="B459" s="1" t="s">
        <v>15</v>
      </c>
      <c r="C459" s="12" t="s">
        <v>402</v>
      </c>
      <c r="D459" s="5" t="s">
        <v>99</v>
      </c>
      <c r="E459" s="24">
        <f>3.62-1.82</f>
        <v>1.8</v>
      </c>
    </row>
    <row r="460" spans="1:5" ht="28.5" x14ac:dyDescent="0.2">
      <c r="A460" s="34" t="s">
        <v>645</v>
      </c>
      <c r="B460" s="1" t="s">
        <v>15</v>
      </c>
      <c r="C460" s="12" t="s">
        <v>402</v>
      </c>
      <c r="D460" s="5" t="s">
        <v>582</v>
      </c>
      <c r="E460" s="24">
        <f>1.82-0.502-0.542-0.004</f>
        <v>0.77200000000000002</v>
      </c>
    </row>
    <row r="461" spans="1:5" ht="28.5" x14ac:dyDescent="0.2">
      <c r="A461" s="34" t="s">
        <v>645</v>
      </c>
      <c r="B461" s="1" t="s">
        <v>15</v>
      </c>
      <c r="C461" s="12" t="s">
        <v>76</v>
      </c>
      <c r="D461" s="5" t="s">
        <v>391</v>
      </c>
      <c r="E461" s="24">
        <f>5.48-1.84-1.82-0.44-0.026-0.76-0.165-0.322-0.005</f>
        <v>0.10200000000000048</v>
      </c>
    </row>
    <row r="462" spans="1:5" ht="28.5" x14ac:dyDescent="0.2">
      <c r="A462" s="34" t="s">
        <v>645</v>
      </c>
      <c r="B462" s="1" t="s">
        <v>15</v>
      </c>
      <c r="C462" s="12" t="s">
        <v>76</v>
      </c>
      <c r="D462" s="5" t="s">
        <v>435</v>
      </c>
      <c r="E462" s="24">
        <f>1.872-0.614</f>
        <v>1.258</v>
      </c>
    </row>
    <row r="463" spans="1:5" ht="28.5" x14ac:dyDescent="0.2">
      <c r="A463" s="34" t="s">
        <v>645</v>
      </c>
      <c r="B463" s="1" t="s">
        <v>15</v>
      </c>
      <c r="C463" s="12" t="s">
        <v>402</v>
      </c>
      <c r="D463" s="5" t="s">
        <v>111</v>
      </c>
      <c r="E463" s="24">
        <f>5.44</f>
        <v>5.44</v>
      </c>
    </row>
    <row r="464" spans="1:5" ht="28.5" x14ac:dyDescent="0.2">
      <c r="A464" s="34" t="s">
        <v>645</v>
      </c>
      <c r="B464" s="1" t="s">
        <v>15</v>
      </c>
      <c r="C464" s="12" t="s">
        <v>76</v>
      </c>
      <c r="D464" s="5" t="s">
        <v>180</v>
      </c>
      <c r="E464" s="24">
        <f>5.62-1.884-1.838</f>
        <v>1.8980000000000001</v>
      </c>
    </row>
    <row r="465" spans="1:5" ht="28.5" x14ac:dyDescent="0.2">
      <c r="A465" s="34" t="s">
        <v>645</v>
      </c>
      <c r="B465" s="1" t="s">
        <v>15</v>
      </c>
      <c r="C465" s="12" t="s">
        <v>76</v>
      </c>
      <c r="D465" s="5" t="s">
        <v>534</v>
      </c>
      <c r="E465" s="24">
        <f>1.838-0.244-0.244-0.008-0.254-0.004</f>
        <v>1.0840000000000001</v>
      </c>
    </row>
    <row r="466" spans="1:5" ht="28.5" x14ac:dyDescent="0.2">
      <c r="A466" s="34" t="s">
        <v>645</v>
      </c>
      <c r="B466" s="1" t="s">
        <v>15</v>
      </c>
      <c r="C466" s="12" t="s">
        <v>76</v>
      </c>
      <c r="D466" s="5" t="s">
        <v>535</v>
      </c>
      <c r="E466" s="24">
        <f>1.816-0.156-0.022-0.322-0.002-0.512-0.008</f>
        <v>0.79400000000000004</v>
      </c>
    </row>
    <row r="467" spans="1:5" ht="28.5" x14ac:dyDescent="0.2">
      <c r="A467" s="34" t="s">
        <v>645</v>
      </c>
      <c r="B467" s="1" t="s">
        <v>15</v>
      </c>
      <c r="C467" s="12" t="s">
        <v>404</v>
      </c>
      <c r="D467" s="5" t="s">
        <v>403</v>
      </c>
      <c r="E467" s="24">
        <f>5.58-1.83-1.812</f>
        <v>1.9379999999999999</v>
      </c>
    </row>
    <row r="468" spans="1:5" ht="28.5" x14ac:dyDescent="0.2">
      <c r="A468" s="34" t="s">
        <v>645</v>
      </c>
      <c r="B468" s="1" t="s">
        <v>15</v>
      </c>
      <c r="C468" s="12" t="s">
        <v>404</v>
      </c>
      <c r="D468" s="5" t="s">
        <v>447</v>
      </c>
      <c r="E468" s="24">
        <f>1.83-0.562-0.302-0.326-0.338+0.014</f>
        <v>0.31599999999999989</v>
      </c>
    </row>
    <row r="469" spans="1:5" ht="28.5" x14ac:dyDescent="0.2">
      <c r="A469" s="34" t="s">
        <v>645</v>
      </c>
      <c r="B469" s="1" t="s">
        <v>15</v>
      </c>
      <c r="C469" s="12" t="s">
        <v>404</v>
      </c>
      <c r="D469" s="5" t="s">
        <v>452</v>
      </c>
      <c r="E469" s="24">
        <f>1.812-0.238</f>
        <v>1.5740000000000001</v>
      </c>
    </row>
    <row r="470" spans="1:5" ht="28.5" x14ac:dyDescent="0.2">
      <c r="A470" s="34" t="s">
        <v>645</v>
      </c>
      <c r="B470" s="1" t="s">
        <v>63</v>
      </c>
      <c r="C470" s="12" t="s">
        <v>229</v>
      </c>
      <c r="D470" s="16" t="s">
        <v>8</v>
      </c>
      <c r="E470" s="21">
        <f>2.092-0.342-0.098-0.148-0.194-0.096-0.098</f>
        <v>1.1159999999999999</v>
      </c>
    </row>
    <row r="471" spans="1:5" ht="28.5" x14ac:dyDescent="0.2">
      <c r="A471" s="34" t="s">
        <v>645</v>
      </c>
      <c r="B471" s="1" t="s">
        <v>63</v>
      </c>
      <c r="C471" s="12" t="s">
        <v>229</v>
      </c>
      <c r="D471" s="16" t="s">
        <v>9</v>
      </c>
      <c r="E471" s="21">
        <f>2.044-0.128-0.193-0.126-0.193-0.064-0.064-0.128-0.064-0.13</f>
        <v>0.95399999999999963</v>
      </c>
    </row>
    <row r="472" spans="1:5" ht="28.5" x14ac:dyDescent="0.2">
      <c r="A472" s="34" t="s">
        <v>645</v>
      </c>
      <c r="B472" s="1" t="s">
        <v>63</v>
      </c>
      <c r="C472" s="12" t="s">
        <v>229</v>
      </c>
      <c r="D472" s="16" t="s">
        <v>592</v>
      </c>
      <c r="E472" s="21">
        <f>0.358-0.048</f>
        <v>0.31</v>
      </c>
    </row>
    <row r="473" spans="1:5" ht="28.5" x14ac:dyDescent="0.2">
      <c r="A473" s="34" t="s">
        <v>645</v>
      </c>
      <c r="B473" s="1" t="s">
        <v>63</v>
      </c>
      <c r="C473" s="12" t="s">
        <v>229</v>
      </c>
      <c r="D473" s="16" t="s">
        <v>56</v>
      </c>
      <c r="E473" s="21">
        <f>3.89-0.425-0.43-0.868-0.44</f>
        <v>1.7270000000000003</v>
      </c>
    </row>
    <row r="474" spans="1:5" ht="28.5" x14ac:dyDescent="0.2">
      <c r="A474" s="34" t="s">
        <v>645</v>
      </c>
      <c r="B474" s="1" t="s">
        <v>63</v>
      </c>
      <c r="C474" s="12" t="s">
        <v>229</v>
      </c>
      <c r="D474" s="16" t="s">
        <v>439</v>
      </c>
      <c r="E474" s="21">
        <f>0.425-0.054-0.001-0.022-0.022+0.002-0.036+0.003-0.018-0.007</f>
        <v>0.26999999999999996</v>
      </c>
    </row>
    <row r="475" spans="1:5" ht="28.5" x14ac:dyDescent="0.2">
      <c r="A475" s="34" t="s">
        <v>645</v>
      </c>
      <c r="B475" s="1" t="s">
        <v>63</v>
      </c>
      <c r="C475" s="12" t="s">
        <v>425</v>
      </c>
      <c r="D475" s="16" t="s">
        <v>56</v>
      </c>
      <c r="E475" s="21">
        <f>1.71</f>
        <v>1.71</v>
      </c>
    </row>
    <row r="476" spans="1:5" ht="28.5" x14ac:dyDescent="0.2">
      <c r="A476" s="34" t="s">
        <v>645</v>
      </c>
      <c r="B476" s="1" t="s">
        <v>63</v>
      </c>
      <c r="C476" s="12" t="s">
        <v>229</v>
      </c>
      <c r="D476" s="16" t="s">
        <v>27</v>
      </c>
      <c r="E476" s="21">
        <f>3.93-1.13-0.564-1.118-0.566</f>
        <v>0.55200000000000016</v>
      </c>
    </row>
    <row r="477" spans="1:5" ht="28.5" x14ac:dyDescent="0.2">
      <c r="A477" s="34" t="s">
        <v>645</v>
      </c>
      <c r="B477" s="1" t="s">
        <v>63</v>
      </c>
      <c r="C477" s="12" t="s">
        <v>229</v>
      </c>
      <c r="D477" s="16" t="s">
        <v>436</v>
      </c>
      <c r="E477" s="21">
        <f>0.54-0.095-0.003-0.144-0.002</f>
        <v>0.29600000000000004</v>
      </c>
    </row>
    <row r="478" spans="1:5" ht="28.5" x14ac:dyDescent="0.2">
      <c r="A478" s="34" t="s">
        <v>645</v>
      </c>
      <c r="B478" s="1" t="s">
        <v>63</v>
      </c>
      <c r="C478" s="12" t="s">
        <v>425</v>
      </c>
      <c r="D478" s="16" t="s">
        <v>27</v>
      </c>
      <c r="E478" s="21">
        <f>4.59</f>
        <v>4.59</v>
      </c>
    </row>
    <row r="479" spans="1:5" ht="28.5" x14ac:dyDescent="0.2">
      <c r="A479" s="34" t="s">
        <v>645</v>
      </c>
      <c r="B479" s="1" t="s">
        <v>63</v>
      </c>
      <c r="C479" s="12" t="s">
        <v>229</v>
      </c>
      <c r="D479" s="5" t="s">
        <v>12</v>
      </c>
      <c r="E479" s="24">
        <f>4.27-0.71-0.714-0.714-0.71</f>
        <v>1.4219999999999997</v>
      </c>
    </row>
    <row r="480" spans="1:5" ht="28.5" x14ac:dyDescent="0.2">
      <c r="A480" s="34" t="s">
        <v>645</v>
      </c>
      <c r="B480" s="1" t="s">
        <v>63</v>
      </c>
      <c r="C480" s="12" t="s">
        <v>229</v>
      </c>
      <c r="D480" s="5" t="s">
        <v>421</v>
      </c>
      <c r="E480" s="24">
        <f>0.71-0.496-0.06-0.002</f>
        <v>0.15199999999999997</v>
      </c>
    </row>
    <row r="481" spans="1:5" ht="28.5" x14ac:dyDescent="0.2">
      <c r="A481" s="34" t="s">
        <v>645</v>
      </c>
      <c r="B481" s="1" t="s">
        <v>63</v>
      </c>
      <c r="C481" s="12" t="s">
        <v>229</v>
      </c>
      <c r="D481" s="16" t="s">
        <v>352</v>
      </c>
      <c r="E481" s="21">
        <f>0.764-0.282-0.072-0.002-0.037-0.002-0.044+0.001-0.186</f>
        <v>0.14000000000000007</v>
      </c>
    </row>
    <row r="482" spans="1:5" ht="28.5" x14ac:dyDescent="0.2">
      <c r="A482" s="34" t="s">
        <v>645</v>
      </c>
      <c r="B482" s="1" t="s">
        <v>63</v>
      </c>
      <c r="C482" s="12" t="s">
        <v>229</v>
      </c>
      <c r="D482" s="5" t="s">
        <v>54</v>
      </c>
      <c r="E482" s="24">
        <f>3.37-0.84-0.846-0.845</f>
        <v>0.83900000000000019</v>
      </c>
    </row>
    <row r="483" spans="1:5" ht="28.5" x14ac:dyDescent="0.2">
      <c r="A483" s="34" t="s">
        <v>645</v>
      </c>
      <c r="B483" s="1" t="s">
        <v>63</v>
      </c>
      <c r="C483" s="12" t="s">
        <v>425</v>
      </c>
      <c r="D483" s="5" t="s">
        <v>54</v>
      </c>
      <c r="E483" s="24">
        <f>1.71</f>
        <v>1.71</v>
      </c>
    </row>
    <row r="484" spans="1:5" ht="28.5" x14ac:dyDescent="0.2">
      <c r="A484" s="34" t="s">
        <v>645</v>
      </c>
      <c r="B484" s="1" t="s">
        <v>63</v>
      </c>
      <c r="C484" s="12" t="s">
        <v>425</v>
      </c>
      <c r="D484" s="5" t="s">
        <v>80</v>
      </c>
      <c r="E484" s="24">
        <f>2-1</f>
        <v>1</v>
      </c>
    </row>
    <row r="485" spans="1:5" ht="28.5" x14ac:dyDescent="0.2">
      <c r="A485" s="34" t="s">
        <v>645</v>
      </c>
      <c r="B485" s="1" t="s">
        <v>63</v>
      </c>
      <c r="C485" s="12" t="s">
        <v>229</v>
      </c>
      <c r="D485" s="5" t="s">
        <v>409</v>
      </c>
      <c r="E485" s="24">
        <f>0.865-0.103-0.548+0.002-0.158-0.002</f>
        <v>5.5999999999999966E-2</v>
      </c>
    </row>
    <row r="486" spans="1:5" ht="28.5" x14ac:dyDescent="0.2">
      <c r="A486" s="34" t="s">
        <v>645</v>
      </c>
      <c r="B486" s="1" t="s">
        <v>63</v>
      </c>
      <c r="C486" s="12" t="s">
        <v>229</v>
      </c>
      <c r="D486" s="5" t="s">
        <v>595</v>
      </c>
      <c r="E486" s="24">
        <f>1.136-0.416-0.058-0.002-0.04-0.094-0.203-0.005</f>
        <v>0.31799999999999989</v>
      </c>
    </row>
    <row r="487" spans="1:5" ht="28.5" x14ac:dyDescent="0.2">
      <c r="A487" s="34" t="s">
        <v>645</v>
      </c>
      <c r="B487" s="1" t="s">
        <v>63</v>
      </c>
      <c r="C487" s="12" t="s">
        <v>425</v>
      </c>
      <c r="D487" s="5" t="s">
        <v>34</v>
      </c>
      <c r="E487" s="24">
        <f>2.28</f>
        <v>2.2799999999999998</v>
      </c>
    </row>
    <row r="488" spans="1:5" ht="28.5" x14ac:dyDescent="0.2">
      <c r="A488" s="34" t="s">
        <v>645</v>
      </c>
      <c r="B488" s="1" t="s">
        <v>63</v>
      </c>
      <c r="C488" s="12" t="s">
        <v>229</v>
      </c>
      <c r="D488" s="5" t="s">
        <v>288</v>
      </c>
      <c r="E488" s="24">
        <f>8.53-1.412-1.425-1.42-1.426-1.433</f>
        <v>1.4139999999999995</v>
      </c>
    </row>
    <row r="489" spans="1:5" ht="28.5" x14ac:dyDescent="0.2">
      <c r="A489" s="34" t="s">
        <v>645</v>
      </c>
      <c r="B489" s="1" t="s">
        <v>63</v>
      </c>
      <c r="C489" s="12" t="s">
        <v>229</v>
      </c>
      <c r="D489" s="5" t="s">
        <v>616</v>
      </c>
      <c r="E489" s="24">
        <f>1.433-0.075-0.086-0.002-0.1</f>
        <v>1.17</v>
      </c>
    </row>
    <row r="490" spans="1:5" ht="28.5" x14ac:dyDescent="0.2">
      <c r="A490" s="34" t="s">
        <v>645</v>
      </c>
      <c r="B490" s="1" t="s">
        <v>63</v>
      </c>
      <c r="C490" s="12" t="s">
        <v>425</v>
      </c>
      <c r="D490" s="5" t="s">
        <v>40</v>
      </c>
      <c r="E490" s="24">
        <f>7.12</f>
        <v>7.12</v>
      </c>
    </row>
    <row r="491" spans="1:5" ht="28.5" x14ac:dyDescent="0.2">
      <c r="A491" s="34" t="s">
        <v>645</v>
      </c>
      <c r="B491" s="1" t="s">
        <v>63</v>
      </c>
      <c r="C491" s="12" t="s">
        <v>229</v>
      </c>
      <c r="D491" s="5" t="s">
        <v>88</v>
      </c>
      <c r="E491" s="24">
        <f>5.1-1.68-1.7</f>
        <v>1.72</v>
      </c>
    </row>
    <row r="492" spans="1:5" ht="28.5" x14ac:dyDescent="0.2">
      <c r="A492" s="34" t="s">
        <v>645</v>
      </c>
      <c r="B492" s="1" t="s">
        <v>63</v>
      </c>
      <c r="C492" s="12" t="s">
        <v>229</v>
      </c>
      <c r="D492" s="5" t="s">
        <v>617</v>
      </c>
      <c r="E492" s="24">
        <f>1.7-0.465</f>
        <v>1.2349999999999999</v>
      </c>
    </row>
    <row r="493" spans="1:5" ht="28.5" x14ac:dyDescent="0.2">
      <c r="A493" s="34" t="s">
        <v>645</v>
      </c>
      <c r="B493" s="1" t="s">
        <v>63</v>
      </c>
      <c r="C493" s="12" t="s">
        <v>425</v>
      </c>
      <c r="D493" s="5" t="s">
        <v>88</v>
      </c>
      <c r="E493" s="24">
        <f>1.62</f>
        <v>1.62</v>
      </c>
    </row>
    <row r="494" spans="1:5" ht="28.5" x14ac:dyDescent="0.2">
      <c r="A494" s="34" t="s">
        <v>645</v>
      </c>
      <c r="B494" s="1" t="s">
        <v>63</v>
      </c>
      <c r="C494" s="12" t="s">
        <v>229</v>
      </c>
      <c r="D494" s="5" t="s">
        <v>577</v>
      </c>
      <c r="E494" s="24">
        <f>6.85-1.714-1.722-1.68-0.18+0.004-0.097+0.001-0.076-0.092-0.004-0.37-0.212-0.004-0.184-0.184+0.002</f>
        <v>0.33799999999999913</v>
      </c>
    </row>
    <row r="495" spans="1:5" ht="28.5" x14ac:dyDescent="0.2">
      <c r="A495" s="34" t="s">
        <v>645</v>
      </c>
      <c r="B495" s="1" t="s">
        <v>63</v>
      </c>
      <c r="C495" s="12" t="s">
        <v>425</v>
      </c>
      <c r="D495" s="5" t="s">
        <v>230</v>
      </c>
      <c r="E495" s="24">
        <f>6.62</f>
        <v>6.62</v>
      </c>
    </row>
    <row r="496" spans="1:5" ht="28.5" x14ac:dyDescent="0.2">
      <c r="A496" s="34" t="s">
        <v>645</v>
      </c>
      <c r="B496" s="1" t="s">
        <v>63</v>
      </c>
      <c r="C496" s="12" t="s">
        <v>229</v>
      </c>
      <c r="D496" s="5" t="s">
        <v>265</v>
      </c>
      <c r="E496" s="24">
        <f>1.7-0.148+0.002-0.186-0.002</f>
        <v>1.3660000000000001</v>
      </c>
    </row>
    <row r="497" spans="1:5" ht="28.5" x14ac:dyDescent="0.2">
      <c r="A497" s="34" t="s">
        <v>645</v>
      </c>
      <c r="B497" s="1" t="s">
        <v>63</v>
      </c>
      <c r="C497" s="12" t="s">
        <v>85</v>
      </c>
      <c r="D497" s="5" t="s">
        <v>247</v>
      </c>
      <c r="E497" s="22">
        <f>3.37-1.7-0.562+0.012-0.128-0.002-0.344-0.004-0.114-0.115-0.001-0.004-0.098-0.098-0.004-0.096</f>
        <v>0.11200000000000015</v>
      </c>
    </row>
    <row r="498" spans="1:5" ht="28.5" x14ac:dyDescent="0.2">
      <c r="A498" s="34" t="s">
        <v>645</v>
      </c>
      <c r="B498" s="1" t="s">
        <v>63</v>
      </c>
      <c r="C498" s="12" t="s">
        <v>229</v>
      </c>
      <c r="D498" s="5" t="s">
        <v>289</v>
      </c>
      <c r="E498" s="24">
        <f>1.67</f>
        <v>1.67</v>
      </c>
    </row>
    <row r="499" spans="1:5" ht="28.5" x14ac:dyDescent="0.2">
      <c r="A499" s="34" t="s">
        <v>645</v>
      </c>
      <c r="B499" s="1" t="s">
        <v>63</v>
      </c>
      <c r="C499" s="12" t="s">
        <v>425</v>
      </c>
      <c r="D499" s="5" t="s">
        <v>426</v>
      </c>
      <c r="E499" s="24">
        <f>1.66</f>
        <v>1.66</v>
      </c>
    </row>
    <row r="500" spans="1:5" ht="28.5" x14ac:dyDescent="0.2">
      <c r="A500" s="34" t="s">
        <v>645</v>
      </c>
      <c r="B500" s="1" t="s">
        <v>63</v>
      </c>
      <c r="C500" s="12" t="s">
        <v>425</v>
      </c>
      <c r="D500" s="5" t="s">
        <v>90</v>
      </c>
      <c r="E500" s="24">
        <f>6.75-1.68-1.7</f>
        <v>3.37</v>
      </c>
    </row>
    <row r="501" spans="1:5" ht="28.5" x14ac:dyDescent="0.2">
      <c r="A501" s="34" t="s">
        <v>645</v>
      </c>
      <c r="B501" s="1" t="s">
        <v>63</v>
      </c>
      <c r="C501" s="12" t="s">
        <v>425</v>
      </c>
      <c r="D501" s="5" t="s">
        <v>618</v>
      </c>
      <c r="E501" s="24">
        <f>1.68-0.244-0.262-0.004-0.228</f>
        <v>0.94199999999999995</v>
      </c>
    </row>
    <row r="502" spans="1:5" ht="28.5" x14ac:dyDescent="0.2">
      <c r="A502" s="34" t="s">
        <v>645</v>
      </c>
      <c r="B502" s="1" t="s">
        <v>63</v>
      </c>
      <c r="C502" s="12" t="s">
        <v>425</v>
      </c>
      <c r="D502" s="5" t="s">
        <v>619</v>
      </c>
      <c r="E502" s="24">
        <f>1.7-1.24</f>
        <v>0.45999999999999996</v>
      </c>
    </row>
    <row r="503" spans="1:5" ht="28.5" x14ac:dyDescent="0.2">
      <c r="A503" s="34" t="s">
        <v>645</v>
      </c>
      <c r="B503" s="1" t="s">
        <v>63</v>
      </c>
      <c r="C503" s="12" t="s">
        <v>425</v>
      </c>
      <c r="D503" s="5" t="s">
        <v>428</v>
      </c>
      <c r="E503" s="24">
        <f>3.5</f>
        <v>3.5</v>
      </c>
    </row>
    <row r="504" spans="1:5" ht="28.5" x14ac:dyDescent="0.2">
      <c r="A504" s="34" t="s">
        <v>645</v>
      </c>
      <c r="B504" s="1" t="s">
        <v>63</v>
      </c>
      <c r="C504" s="12" t="s">
        <v>425</v>
      </c>
      <c r="D504" s="5" t="s">
        <v>95</v>
      </c>
      <c r="E504" s="22">
        <f>5.39-1.786</f>
        <v>3.6039999999999996</v>
      </c>
    </row>
    <row r="505" spans="1:5" ht="28.5" x14ac:dyDescent="0.2">
      <c r="A505" s="34" t="s">
        <v>645</v>
      </c>
      <c r="B505" s="1" t="s">
        <v>63</v>
      </c>
      <c r="C505" s="12" t="s">
        <v>425</v>
      </c>
      <c r="D505" s="5" t="s">
        <v>554</v>
      </c>
      <c r="E505" s="22">
        <f>1.786-0.328-0.244+0.002</f>
        <v>1.216</v>
      </c>
    </row>
    <row r="506" spans="1:5" ht="28.5" x14ac:dyDescent="0.2">
      <c r="A506" s="34" t="s">
        <v>645</v>
      </c>
      <c r="B506" s="1" t="s">
        <v>63</v>
      </c>
      <c r="C506" s="12" t="s">
        <v>425</v>
      </c>
      <c r="D506" s="5" t="s">
        <v>427</v>
      </c>
      <c r="E506" s="22">
        <f>1.81</f>
        <v>1.81</v>
      </c>
    </row>
    <row r="507" spans="1:5" ht="28.5" x14ac:dyDescent="0.2">
      <c r="A507" s="34" t="s">
        <v>645</v>
      </c>
      <c r="B507" s="1" t="s">
        <v>63</v>
      </c>
      <c r="C507" s="12" t="s">
        <v>152</v>
      </c>
      <c r="D507" s="5" t="s">
        <v>539</v>
      </c>
      <c r="E507" s="24">
        <f>8.07-1.154-1.15-2.314-1.15-1.134</f>
        <v>1.1680000000000001</v>
      </c>
    </row>
    <row r="508" spans="1:5" ht="28.5" x14ac:dyDescent="0.2">
      <c r="A508" s="34" t="s">
        <v>645</v>
      </c>
      <c r="B508" s="1" t="s">
        <v>63</v>
      </c>
      <c r="C508" s="12" t="s">
        <v>152</v>
      </c>
      <c r="D508" s="5" t="s">
        <v>540</v>
      </c>
      <c r="E508" s="24">
        <f>1.134-0.386</f>
        <v>0.74799999999999989</v>
      </c>
    </row>
    <row r="509" spans="1:5" ht="28.5" x14ac:dyDescent="0.2">
      <c r="A509" s="34" t="s">
        <v>645</v>
      </c>
      <c r="B509" s="1" t="s">
        <v>63</v>
      </c>
      <c r="C509" s="12" t="s">
        <v>425</v>
      </c>
      <c r="D509" s="5" t="s">
        <v>92</v>
      </c>
      <c r="E509" s="24">
        <f>3.63-1.81</f>
        <v>1.8199999999999998</v>
      </c>
    </row>
    <row r="510" spans="1:5" ht="28.5" x14ac:dyDescent="0.2">
      <c r="A510" s="34" t="s">
        <v>645</v>
      </c>
      <c r="B510" s="1" t="s">
        <v>63</v>
      </c>
      <c r="C510" s="12" t="s">
        <v>85</v>
      </c>
      <c r="D510" s="5" t="s">
        <v>99</v>
      </c>
      <c r="E510" s="22">
        <f>7.56-1.905-1.885-1.894</f>
        <v>1.8759999999999997</v>
      </c>
    </row>
    <row r="511" spans="1:5" ht="28.5" x14ac:dyDescent="0.2">
      <c r="A511" s="34" t="s">
        <v>645</v>
      </c>
      <c r="B511" s="1" t="s">
        <v>63</v>
      </c>
      <c r="C511" s="12" t="s">
        <v>85</v>
      </c>
      <c r="D511" s="5" t="s">
        <v>589</v>
      </c>
      <c r="E511" s="22">
        <f>1.905-0.806-0.027-0.532-0.274</f>
        <v>0.26600000000000001</v>
      </c>
    </row>
    <row r="512" spans="1:5" ht="28.5" x14ac:dyDescent="0.2">
      <c r="A512" s="34" t="s">
        <v>645</v>
      </c>
      <c r="B512" s="1" t="s">
        <v>63</v>
      </c>
      <c r="C512" s="12" t="s">
        <v>229</v>
      </c>
      <c r="D512" s="5" t="s">
        <v>546</v>
      </c>
      <c r="E512" s="24">
        <f>1.89-0.138-0.018-0.278-0.004-0.14-0.002-0.36-0.002</f>
        <v>0.94799999999999984</v>
      </c>
    </row>
    <row r="513" spans="1:5" ht="28.5" x14ac:dyDescent="0.2">
      <c r="A513" s="34" t="s">
        <v>645</v>
      </c>
      <c r="B513" s="1" t="s">
        <v>63</v>
      </c>
      <c r="C513" s="12" t="s">
        <v>425</v>
      </c>
      <c r="D513" s="5" t="s">
        <v>111</v>
      </c>
      <c r="E513" s="24">
        <f>1.81</f>
        <v>1.81</v>
      </c>
    </row>
    <row r="514" spans="1:5" ht="28.5" x14ac:dyDescent="0.2">
      <c r="A514" s="34" t="s">
        <v>645</v>
      </c>
      <c r="B514" s="1" t="s">
        <v>63</v>
      </c>
      <c r="C514" s="12" t="s">
        <v>425</v>
      </c>
      <c r="D514" s="5" t="s">
        <v>180</v>
      </c>
      <c r="E514" s="24">
        <f>1.79</f>
        <v>1.79</v>
      </c>
    </row>
    <row r="515" spans="1:5" ht="28.5" x14ac:dyDescent="0.2">
      <c r="A515" s="34" t="s">
        <v>645</v>
      </c>
      <c r="B515" s="1" t="s">
        <v>63</v>
      </c>
      <c r="C515" s="12" t="s">
        <v>152</v>
      </c>
      <c r="D515" s="5" t="s">
        <v>441</v>
      </c>
      <c r="E515" s="24">
        <f>3.43-1.134-1.134-0.694+0.008</f>
        <v>0.47600000000000042</v>
      </c>
    </row>
    <row r="516" spans="1:5" ht="28.5" x14ac:dyDescent="0.2">
      <c r="A516" s="34" t="s">
        <v>645</v>
      </c>
      <c r="B516" s="1" t="s">
        <v>63</v>
      </c>
      <c r="C516" s="12" t="s">
        <v>152</v>
      </c>
      <c r="D516" s="5" t="s">
        <v>167</v>
      </c>
      <c r="E516" s="24">
        <f>3.51-1.158-1.17</f>
        <v>1.1819999999999999</v>
      </c>
    </row>
    <row r="517" spans="1:5" ht="28.5" x14ac:dyDescent="0.2">
      <c r="A517" s="34" t="s">
        <v>645</v>
      </c>
      <c r="B517" s="1" t="s">
        <v>63</v>
      </c>
      <c r="C517" s="12" t="s">
        <v>152</v>
      </c>
      <c r="D517" s="5" t="s">
        <v>420</v>
      </c>
      <c r="E517" s="24">
        <f>1.158-0.67</f>
        <v>0.48799999999999988</v>
      </c>
    </row>
    <row r="518" spans="1:5" ht="28.5" x14ac:dyDescent="0.2">
      <c r="A518" s="34" t="s">
        <v>645</v>
      </c>
      <c r="B518" s="1" t="s">
        <v>63</v>
      </c>
      <c r="C518" s="12" t="s">
        <v>152</v>
      </c>
      <c r="D518" s="5" t="s">
        <v>620</v>
      </c>
      <c r="E518" s="24">
        <f>1.17-0.6</f>
        <v>0.56999999999999995</v>
      </c>
    </row>
    <row r="519" spans="1:5" ht="28.5" x14ac:dyDescent="0.2">
      <c r="A519" s="34" t="s">
        <v>645</v>
      </c>
      <c r="B519" s="1" t="s">
        <v>63</v>
      </c>
      <c r="C519" s="12" t="s">
        <v>152</v>
      </c>
      <c r="D519" s="5" t="s">
        <v>168</v>
      </c>
      <c r="E519" s="24">
        <f>3.46-2.34</f>
        <v>1.1200000000000001</v>
      </c>
    </row>
    <row r="520" spans="1:5" ht="14.25" x14ac:dyDescent="0.2">
      <c r="A520" s="35" t="s">
        <v>646</v>
      </c>
      <c r="B520" s="16" t="s">
        <v>79</v>
      </c>
      <c r="C520" s="16" t="s">
        <v>471</v>
      </c>
      <c r="D520" s="16" t="s">
        <v>7</v>
      </c>
      <c r="E520" s="20">
        <f>2.134-0.032</f>
        <v>2.1019999999999999</v>
      </c>
    </row>
    <row r="521" spans="1:5" ht="14.25" x14ac:dyDescent="0.2">
      <c r="A521" s="35" t="s">
        <v>646</v>
      </c>
      <c r="B521" s="16" t="s">
        <v>79</v>
      </c>
      <c r="C521" s="16" t="s">
        <v>471</v>
      </c>
      <c r="D521" s="16" t="s">
        <v>8</v>
      </c>
      <c r="E521" s="20">
        <f>2.096</f>
        <v>2.0960000000000001</v>
      </c>
    </row>
    <row r="522" spans="1:5" ht="28.5" x14ac:dyDescent="0.2">
      <c r="A522" s="35" t="s">
        <v>646</v>
      </c>
      <c r="B522" s="16" t="s">
        <v>79</v>
      </c>
      <c r="C522" s="16" t="s">
        <v>419</v>
      </c>
      <c r="D522" s="16" t="s">
        <v>9</v>
      </c>
      <c r="E522" s="20">
        <f>2.026-0.19-0.192-0.064-0.064-0.064-0.066-0.064-0.064-0.188-0.062</f>
        <v>1.0079999999999996</v>
      </c>
    </row>
    <row r="523" spans="1:5" ht="28.5" x14ac:dyDescent="0.2">
      <c r="A523" s="35" t="s">
        <v>646</v>
      </c>
      <c r="B523" s="1" t="s">
        <v>79</v>
      </c>
      <c r="C523" s="5" t="s">
        <v>333</v>
      </c>
      <c r="D523" s="16" t="s">
        <v>334</v>
      </c>
      <c r="E523" s="21">
        <f>1.16-0.29</f>
        <v>0.86999999999999988</v>
      </c>
    </row>
    <row r="524" spans="1:5" ht="28.5" x14ac:dyDescent="0.2">
      <c r="A524" s="35" t="s">
        <v>646</v>
      </c>
      <c r="B524" s="1" t="s">
        <v>79</v>
      </c>
      <c r="C524" s="5" t="s">
        <v>333</v>
      </c>
      <c r="D524" s="16" t="s">
        <v>621</v>
      </c>
      <c r="E524" s="21">
        <f>0.29-0.042</f>
        <v>0.24799999999999997</v>
      </c>
    </row>
    <row r="525" spans="1:5" ht="28.5" x14ac:dyDescent="0.2">
      <c r="A525" s="35" t="s">
        <v>646</v>
      </c>
      <c r="B525" s="1" t="s">
        <v>79</v>
      </c>
      <c r="C525" s="5" t="s">
        <v>208</v>
      </c>
      <c r="D525" s="5" t="s">
        <v>224</v>
      </c>
      <c r="E525" s="22">
        <f>0.87-0.43</f>
        <v>0.44</v>
      </c>
    </row>
    <row r="526" spans="1:5" ht="28.5" x14ac:dyDescent="0.2">
      <c r="A526" s="35" t="s">
        <v>646</v>
      </c>
      <c r="B526" s="1" t="s">
        <v>79</v>
      </c>
      <c r="C526" s="5" t="s">
        <v>208</v>
      </c>
      <c r="D526" s="5" t="s">
        <v>558</v>
      </c>
      <c r="E526" s="22">
        <f>0.43-0.106-0.018-0.002-0.022-0.036-0.108</f>
        <v>0.13799999999999996</v>
      </c>
    </row>
    <row r="527" spans="1:5" ht="28.5" x14ac:dyDescent="0.2">
      <c r="A527" s="35" t="s">
        <v>646</v>
      </c>
      <c r="B527" s="1" t="s">
        <v>79</v>
      </c>
      <c r="C527" s="5" t="s">
        <v>208</v>
      </c>
      <c r="D527" s="5" t="s">
        <v>224</v>
      </c>
      <c r="E527" s="22">
        <f>1.73-0.435-0.44</f>
        <v>0.85499999999999998</v>
      </c>
    </row>
    <row r="528" spans="1:5" ht="28.5" x14ac:dyDescent="0.2">
      <c r="A528" s="35" t="s">
        <v>646</v>
      </c>
      <c r="B528" s="1" t="s">
        <v>79</v>
      </c>
      <c r="C528" s="5" t="s">
        <v>333</v>
      </c>
      <c r="D528" s="5" t="s">
        <v>56</v>
      </c>
      <c r="E528" s="22">
        <f>1.69-0.844</f>
        <v>0.84599999999999997</v>
      </c>
    </row>
    <row r="529" spans="1:5" ht="28.5" x14ac:dyDescent="0.2">
      <c r="A529" s="35" t="s">
        <v>646</v>
      </c>
      <c r="B529" s="1" t="s">
        <v>79</v>
      </c>
      <c r="C529" s="5" t="s">
        <v>211</v>
      </c>
      <c r="D529" s="5" t="s">
        <v>209</v>
      </c>
      <c r="E529" s="22">
        <f>2.22-0.556</f>
        <v>1.6640000000000001</v>
      </c>
    </row>
    <row r="530" spans="1:5" ht="28.5" x14ac:dyDescent="0.2">
      <c r="A530" s="35" t="s">
        <v>646</v>
      </c>
      <c r="B530" s="1" t="s">
        <v>79</v>
      </c>
      <c r="C530" s="5" t="s">
        <v>211</v>
      </c>
      <c r="D530" s="5" t="s">
        <v>514</v>
      </c>
      <c r="E530" s="22">
        <f>0.556-0.048-0.023-0.001-0.046-0.002</f>
        <v>0.436</v>
      </c>
    </row>
    <row r="531" spans="1:5" ht="28.5" x14ac:dyDescent="0.2">
      <c r="A531" s="35" t="s">
        <v>646</v>
      </c>
      <c r="B531" s="1" t="s">
        <v>79</v>
      </c>
      <c r="C531" s="5" t="s">
        <v>378</v>
      </c>
      <c r="D531" s="5" t="s">
        <v>379</v>
      </c>
      <c r="E531" s="22">
        <f>1.11</f>
        <v>1.1100000000000001</v>
      </c>
    </row>
    <row r="532" spans="1:5" ht="28.5" x14ac:dyDescent="0.2">
      <c r="A532" s="35" t="s">
        <v>646</v>
      </c>
      <c r="B532" s="1" t="s">
        <v>79</v>
      </c>
      <c r="C532" s="5" t="s">
        <v>378</v>
      </c>
      <c r="D532" s="5" t="s">
        <v>478</v>
      </c>
      <c r="E532" s="22">
        <f>0.44-0.14-0.002</f>
        <v>0.29799999999999999</v>
      </c>
    </row>
    <row r="533" spans="1:5" ht="28.5" x14ac:dyDescent="0.2">
      <c r="A533" s="35" t="s">
        <v>646</v>
      </c>
      <c r="B533" s="1" t="s">
        <v>79</v>
      </c>
      <c r="C533" s="5" t="s">
        <v>208</v>
      </c>
      <c r="D533" s="5" t="s">
        <v>114</v>
      </c>
      <c r="E533" s="22">
        <f>2.16-0.716</f>
        <v>1.4440000000000002</v>
      </c>
    </row>
    <row r="534" spans="1:5" ht="28.5" x14ac:dyDescent="0.2">
      <c r="A534" s="35" t="s">
        <v>646</v>
      </c>
      <c r="B534" s="1" t="s">
        <v>79</v>
      </c>
      <c r="C534" s="5" t="s">
        <v>208</v>
      </c>
      <c r="D534" s="5" t="s">
        <v>543</v>
      </c>
      <c r="E534" s="22">
        <f>0.716-0.244-0.061+0.001</f>
        <v>0.41199999999999998</v>
      </c>
    </row>
    <row r="535" spans="1:5" ht="28.5" x14ac:dyDescent="0.2">
      <c r="A535" s="35" t="s">
        <v>646</v>
      </c>
      <c r="B535" s="1" t="s">
        <v>79</v>
      </c>
      <c r="C535" s="5" t="s">
        <v>208</v>
      </c>
      <c r="D535" s="5" t="s">
        <v>424</v>
      </c>
      <c r="E535" s="22">
        <f>2.11</f>
        <v>2.11</v>
      </c>
    </row>
    <row r="536" spans="1:5" ht="28.5" x14ac:dyDescent="0.2">
      <c r="A536" s="35" t="s">
        <v>646</v>
      </c>
      <c r="B536" s="1" t="s">
        <v>79</v>
      </c>
      <c r="C536" s="5" t="s">
        <v>307</v>
      </c>
      <c r="D536" s="5" t="s">
        <v>304</v>
      </c>
      <c r="E536" s="22">
        <f>1.78-0.594-0.6</f>
        <v>0.58599999999999997</v>
      </c>
    </row>
    <row r="537" spans="1:5" ht="28.5" x14ac:dyDescent="0.2">
      <c r="A537" s="35" t="s">
        <v>646</v>
      </c>
      <c r="B537" s="1" t="s">
        <v>79</v>
      </c>
      <c r="C537" s="5" t="s">
        <v>307</v>
      </c>
      <c r="D537" s="5" t="s">
        <v>533</v>
      </c>
      <c r="E537" s="22">
        <f>0.59-0.07-0.036</f>
        <v>0.48400000000000004</v>
      </c>
    </row>
    <row r="538" spans="1:5" ht="28.5" x14ac:dyDescent="0.2">
      <c r="A538" s="35" t="s">
        <v>646</v>
      </c>
      <c r="B538" s="1" t="s">
        <v>79</v>
      </c>
      <c r="C538" s="5" t="s">
        <v>89</v>
      </c>
      <c r="D538" s="5" t="s">
        <v>429</v>
      </c>
      <c r="E538" s="24">
        <f>2.55-0.85-0.846-0.049+0.005-0.049-0.001</f>
        <v>0.75999999999999968</v>
      </c>
    </row>
    <row r="539" spans="1:5" ht="28.5" x14ac:dyDescent="0.2">
      <c r="A539" s="35" t="s">
        <v>646</v>
      </c>
      <c r="B539" s="1" t="s">
        <v>79</v>
      </c>
      <c r="C539" s="5" t="s">
        <v>89</v>
      </c>
      <c r="D539" s="5" t="s">
        <v>312</v>
      </c>
      <c r="E539" s="24">
        <f>2.94</f>
        <v>2.94</v>
      </c>
    </row>
    <row r="540" spans="1:5" ht="28.5" x14ac:dyDescent="0.2">
      <c r="A540" s="35" t="s">
        <v>646</v>
      </c>
      <c r="B540" s="1" t="s">
        <v>79</v>
      </c>
      <c r="C540" s="5" t="s">
        <v>89</v>
      </c>
      <c r="D540" s="5" t="s">
        <v>622</v>
      </c>
      <c r="E540" s="24">
        <f>2.85-0.956-0.95-0.033</f>
        <v>0.91100000000000014</v>
      </c>
    </row>
    <row r="541" spans="1:5" ht="28.5" x14ac:dyDescent="0.2">
      <c r="A541" s="35" t="s">
        <v>646</v>
      </c>
      <c r="B541" s="1" t="s">
        <v>79</v>
      </c>
      <c r="C541" s="5" t="s">
        <v>89</v>
      </c>
      <c r="D541" s="5" t="s">
        <v>477</v>
      </c>
      <c r="E541" s="24">
        <f>0.956-0.118-0.698-0.004-0.034-0.002</f>
        <v>0.1</v>
      </c>
    </row>
    <row r="542" spans="1:5" ht="28.5" x14ac:dyDescent="0.2">
      <c r="A542" s="35" t="s">
        <v>646</v>
      </c>
      <c r="B542" s="1" t="s">
        <v>79</v>
      </c>
      <c r="C542" s="5" t="s">
        <v>89</v>
      </c>
      <c r="D542" s="5" t="s">
        <v>410</v>
      </c>
      <c r="E542" s="24">
        <f>0.698-0.462</f>
        <v>0.23599999999999993</v>
      </c>
    </row>
    <row r="543" spans="1:5" ht="28.5" x14ac:dyDescent="0.2">
      <c r="A543" s="35" t="s">
        <v>646</v>
      </c>
      <c r="B543" s="1" t="s">
        <v>79</v>
      </c>
      <c r="C543" s="5" t="s">
        <v>91</v>
      </c>
      <c r="D543" s="5" t="s">
        <v>305</v>
      </c>
      <c r="E543" s="22">
        <f>4.1-1.044-1.018-1.018</f>
        <v>1.0199999999999994</v>
      </c>
    </row>
    <row r="544" spans="1:5" ht="28.5" x14ac:dyDescent="0.2">
      <c r="A544" s="35" t="s">
        <v>646</v>
      </c>
      <c r="B544" s="1" t="s">
        <v>79</v>
      </c>
      <c r="C544" s="5" t="s">
        <v>91</v>
      </c>
      <c r="D544" s="5" t="s">
        <v>547</v>
      </c>
      <c r="E544" s="22">
        <f>1.018-0.518</f>
        <v>0.5</v>
      </c>
    </row>
    <row r="545" spans="1:5" ht="28.5" x14ac:dyDescent="0.2">
      <c r="A545" s="35" t="s">
        <v>646</v>
      </c>
      <c r="B545" s="1" t="s">
        <v>79</v>
      </c>
      <c r="C545" s="5" t="s">
        <v>91</v>
      </c>
      <c r="D545" s="5" t="s">
        <v>488</v>
      </c>
      <c r="E545" s="22">
        <f>2.04-1.024-0.144+0.004-0.122-0.002-0.074-0.004-0.089-0.146-0.003</f>
        <v>0.43600000000000005</v>
      </c>
    </row>
    <row r="546" spans="1:5" ht="28.5" x14ac:dyDescent="0.2">
      <c r="A546" s="35" t="s">
        <v>646</v>
      </c>
      <c r="B546" s="1" t="s">
        <v>79</v>
      </c>
      <c r="C546" s="5" t="s">
        <v>91</v>
      </c>
      <c r="D546" s="5" t="s">
        <v>411</v>
      </c>
      <c r="E546" s="22">
        <f>1.004-0.864</f>
        <v>0.14000000000000001</v>
      </c>
    </row>
    <row r="547" spans="1:5" ht="28.5" x14ac:dyDescent="0.2">
      <c r="A547" s="35" t="s">
        <v>646</v>
      </c>
      <c r="B547" s="1" t="s">
        <v>79</v>
      </c>
      <c r="C547" s="5" t="s">
        <v>590</v>
      </c>
      <c r="D547" s="5" t="s">
        <v>306</v>
      </c>
      <c r="E547" s="24">
        <f>5.06-0.8</f>
        <v>4.26</v>
      </c>
    </row>
    <row r="548" spans="1:5" ht="28.5" x14ac:dyDescent="0.2">
      <c r="A548" s="35" t="s">
        <v>646</v>
      </c>
      <c r="B548" s="1" t="s">
        <v>79</v>
      </c>
      <c r="C548" s="5" t="s">
        <v>91</v>
      </c>
      <c r="D548" s="5" t="s">
        <v>313</v>
      </c>
      <c r="E548" s="22">
        <f>4.4-1.106</f>
        <v>3.2940000000000005</v>
      </c>
    </row>
    <row r="549" spans="1:5" ht="28.5" x14ac:dyDescent="0.2">
      <c r="A549" s="35" t="s">
        <v>646</v>
      </c>
      <c r="B549" s="1" t="s">
        <v>79</v>
      </c>
      <c r="C549" s="5" t="s">
        <v>91</v>
      </c>
      <c r="D549" s="5" t="s">
        <v>314</v>
      </c>
      <c r="E549" s="24">
        <f>2.24-1.108</f>
        <v>1.1320000000000001</v>
      </c>
    </row>
    <row r="550" spans="1:5" ht="28.5" x14ac:dyDescent="0.2">
      <c r="A550" s="35" t="s">
        <v>646</v>
      </c>
      <c r="B550" s="1" t="s">
        <v>79</v>
      </c>
      <c r="C550" s="5" t="s">
        <v>91</v>
      </c>
      <c r="D550" s="5" t="s">
        <v>623</v>
      </c>
      <c r="E550" s="24">
        <f>1.108-0.458-0.228-0.08</f>
        <v>0.34200000000000014</v>
      </c>
    </row>
    <row r="551" spans="1:5" ht="14.25" x14ac:dyDescent="0.2">
      <c r="A551" s="36" t="s">
        <v>647</v>
      </c>
      <c r="B551" s="17" t="s">
        <v>329</v>
      </c>
      <c r="C551" s="17" t="s">
        <v>165</v>
      </c>
      <c r="D551" s="17">
        <v>200</v>
      </c>
      <c r="E551" s="28">
        <f>0.726-0.372-0.071-0.064-0.078</f>
        <v>0.14099999999999996</v>
      </c>
    </row>
    <row r="552" spans="1:5" ht="14.25" x14ac:dyDescent="0.2">
      <c r="A552" s="36" t="s">
        <v>647</v>
      </c>
      <c r="B552" s="16" t="s">
        <v>493</v>
      </c>
      <c r="C552" s="16" t="s">
        <v>495</v>
      </c>
      <c r="D552" s="16">
        <v>12</v>
      </c>
      <c r="E552" s="20">
        <f>1.23-0.24</f>
        <v>0.99</v>
      </c>
    </row>
    <row r="553" spans="1:5" ht="14.25" x14ac:dyDescent="0.2">
      <c r="A553" s="36" t="s">
        <v>647</v>
      </c>
      <c r="B553" s="16" t="s">
        <v>493</v>
      </c>
      <c r="C553" s="16" t="s">
        <v>495</v>
      </c>
      <c r="D553" s="16">
        <v>25</v>
      </c>
      <c r="E553" s="20">
        <f>0.72-0.484</f>
        <v>0.23599999999999999</v>
      </c>
    </row>
    <row r="554" spans="1:5" ht="14.25" x14ac:dyDescent="0.2">
      <c r="A554" s="36" t="s">
        <v>647</v>
      </c>
      <c r="B554" s="16" t="s">
        <v>494</v>
      </c>
      <c r="C554" s="16" t="s">
        <v>495</v>
      </c>
      <c r="D554" s="16">
        <v>40</v>
      </c>
      <c r="E554" s="20">
        <f>1.34-0.556</f>
        <v>0.78400000000000003</v>
      </c>
    </row>
    <row r="555" spans="1:5" ht="28.5" x14ac:dyDescent="0.2">
      <c r="A555" s="36" t="s">
        <v>647</v>
      </c>
      <c r="B555" s="16" t="s">
        <v>4</v>
      </c>
      <c r="C555" s="16" t="s">
        <v>274</v>
      </c>
      <c r="D555" s="16">
        <v>170</v>
      </c>
      <c r="E555" s="20">
        <f>0.609-0.073</f>
        <v>0.53600000000000003</v>
      </c>
    </row>
    <row r="556" spans="1:5" ht="14.25" x14ac:dyDescent="0.2">
      <c r="A556" s="36" t="s">
        <v>647</v>
      </c>
      <c r="B556" s="16" t="s">
        <v>4</v>
      </c>
      <c r="C556" s="16" t="s">
        <v>279</v>
      </c>
      <c r="D556" s="16">
        <v>180</v>
      </c>
      <c r="E556" s="20">
        <f>0.672-0.07-0.016-0.07-0.216</f>
        <v>0.30000000000000004</v>
      </c>
    </row>
    <row r="557" spans="1:5" ht="28.5" x14ac:dyDescent="0.2">
      <c r="A557" s="36" t="s">
        <v>647</v>
      </c>
      <c r="B557" s="16" t="s">
        <v>6</v>
      </c>
      <c r="C557" s="16" t="s">
        <v>276</v>
      </c>
      <c r="D557" s="16">
        <v>34</v>
      </c>
      <c r="E557" s="20">
        <f>0.037</f>
        <v>3.6999999999999998E-2</v>
      </c>
    </row>
    <row r="558" spans="1:5" ht="28.5" x14ac:dyDescent="0.2">
      <c r="A558" s="36" t="s">
        <v>647</v>
      </c>
      <c r="B558" s="16" t="s">
        <v>6</v>
      </c>
      <c r="C558" s="16" t="s">
        <v>276</v>
      </c>
      <c r="D558" s="16">
        <v>250</v>
      </c>
      <c r="E558" s="20">
        <f>1.19-0.42-0.392-0.154</f>
        <v>0.224</v>
      </c>
    </row>
    <row r="559" spans="1:5" ht="14.25" x14ac:dyDescent="0.2">
      <c r="A559" s="36" t="s">
        <v>647</v>
      </c>
      <c r="B559" s="16" t="s">
        <v>145</v>
      </c>
      <c r="C559" s="16" t="s">
        <v>146</v>
      </c>
      <c r="D559" s="16">
        <v>15</v>
      </c>
      <c r="E559" s="20">
        <f>0.496-0.016</f>
        <v>0.48</v>
      </c>
    </row>
    <row r="560" spans="1:5" ht="14.25" x14ac:dyDescent="0.2">
      <c r="A560" s="36" t="s">
        <v>647</v>
      </c>
      <c r="B560" s="16" t="s">
        <v>21</v>
      </c>
      <c r="C560" s="16" t="s">
        <v>137</v>
      </c>
      <c r="D560" s="16" t="s">
        <v>151</v>
      </c>
      <c r="E560" s="21">
        <f>0.026-0.014</f>
        <v>1.1999999999999999E-2</v>
      </c>
    </row>
    <row r="561" spans="1:5" ht="28.5" x14ac:dyDescent="0.2">
      <c r="A561" s="36" t="s">
        <v>647</v>
      </c>
      <c r="B561" s="16" t="s">
        <v>21</v>
      </c>
      <c r="C561" s="16" t="s">
        <v>100</v>
      </c>
      <c r="D561" s="16">
        <v>14</v>
      </c>
      <c r="E561" s="20">
        <f>0.15</f>
        <v>0.15</v>
      </c>
    </row>
    <row r="562" spans="1:5" ht="14.25" x14ac:dyDescent="0.2">
      <c r="A562" s="36" t="s">
        <v>647</v>
      </c>
      <c r="B562" s="16" t="s">
        <v>21</v>
      </c>
      <c r="C562" s="16" t="s">
        <v>137</v>
      </c>
      <c r="D562" s="16">
        <v>36</v>
      </c>
      <c r="E562" s="20">
        <f>0.812-0.076-0.039-0.511</f>
        <v>0.18600000000000005</v>
      </c>
    </row>
    <row r="563" spans="1:5" ht="14.25" x14ac:dyDescent="0.2">
      <c r="A563" s="36" t="s">
        <v>647</v>
      </c>
      <c r="B563" s="16" t="s">
        <v>21</v>
      </c>
      <c r="C563" s="16" t="s">
        <v>137</v>
      </c>
      <c r="D563" s="16">
        <v>36</v>
      </c>
      <c r="E563" s="20">
        <f>0.09-0.016-0.018</f>
        <v>5.5999999999999994E-2</v>
      </c>
    </row>
    <row r="564" spans="1:5" ht="14.25" x14ac:dyDescent="0.2">
      <c r="A564" s="36" t="s">
        <v>647</v>
      </c>
      <c r="B564" s="16" t="s">
        <v>16</v>
      </c>
      <c r="C564" s="16" t="s">
        <v>137</v>
      </c>
      <c r="D564" s="16">
        <v>45</v>
      </c>
      <c r="E564" s="20">
        <f>0.774-0.166-0.025-0.058-0.045-0.315-0.047</f>
        <v>0.11799999999999992</v>
      </c>
    </row>
    <row r="565" spans="1:5" ht="14.25" x14ac:dyDescent="0.2">
      <c r="A565" s="36" t="s">
        <v>647</v>
      </c>
      <c r="B565" s="16" t="s">
        <v>16</v>
      </c>
      <c r="C565" s="16" t="s">
        <v>137</v>
      </c>
      <c r="D565" s="16">
        <v>140</v>
      </c>
      <c r="E565" s="20">
        <f>0.388</f>
        <v>0.38800000000000001</v>
      </c>
    </row>
    <row r="566" spans="1:5" ht="14.25" x14ac:dyDescent="0.2">
      <c r="A566" s="36" t="s">
        <v>647</v>
      </c>
      <c r="B566" s="6" t="s">
        <v>15</v>
      </c>
      <c r="C566" s="16" t="s">
        <v>225</v>
      </c>
      <c r="D566" s="15" t="s">
        <v>175</v>
      </c>
      <c r="E566" s="20">
        <v>0.1</v>
      </c>
    </row>
    <row r="567" spans="1:5" ht="14.25" x14ac:dyDescent="0.2">
      <c r="A567" s="36" t="s">
        <v>647</v>
      </c>
      <c r="B567" s="6" t="s">
        <v>15</v>
      </c>
      <c r="C567" s="16" t="s">
        <v>140</v>
      </c>
      <c r="D567" s="15" t="s">
        <v>139</v>
      </c>
      <c r="E567" s="20">
        <f>0.081</f>
        <v>8.1000000000000003E-2</v>
      </c>
    </row>
    <row r="568" spans="1:5" ht="14.25" x14ac:dyDescent="0.2">
      <c r="A568" s="36" t="s">
        <v>647</v>
      </c>
      <c r="B568" s="6" t="s">
        <v>15</v>
      </c>
      <c r="C568" s="16" t="s">
        <v>138</v>
      </c>
      <c r="D568" s="16">
        <v>15</v>
      </c>
      <c r="E568" s="21">
        <f>0.41-0.012-0.2-0.09</f>
        <v>0.10799999999999996</v>
      </c>
    </row>
    <row r="569" spans="1:5" ht="14.25" x14ac:dyDescent="0.2">
      <c r="A569" s="36" t="s">
        <v>647</v>
      </c>
      <c r="B569" s="6" t="s">
        <v>15</v>
      </c>
      <c r="C569" s="16" t="s">
        <v>138</v>
      </c>
      <c r="D569" s="16">
        <v>250</v>
      </c>
      <c r="E569" s="21">
        <f>0.955-0.76</f>
        <v>0.19499999999999995</v>
      </c>
    </row>
    <row r="570" spans="1:5" ht="14.25" x14ac:dyDescent="0.2">
      <c r="A570" s="36" t="s">
        <v>647</v>
      </c>
      <c r="B570" s="16" t="s">
        <v>374</v>
      </c>
      <c r="C570" s="16" t="s">
        <v>376</v>
      </c>
      <c r="D570" s="16" t="s">
        <v>375</v>
      </c>
      <c r="E570" s="20">
        <f>0.43</f>
        <v>0.43</v>
      </c>
    </row>
    <row r="571" spans="1:5" ht="14.25" x14ac:dyDescent="0.2">
      <c r="A571" s="36" t="s">
        <v>647</v>
      </c>
      <c r="B571" s="16" t="s">
        <v>141</v>
      </c>
      <c r="C571" s="16" t="s">
        <v>138</v>
      </c>
      <c r="D571" s="16">
        <v>20</v>
      </c>
      <c r="E571" s="20">
        <f>0.046</f>
        <v>4.5999999999999999E-2</v>
      </c>
    </row>
    <row r="572" spans="1:5" ht="14.25" x14ac:dyDescent="0.2">
      <c r="A572" s="36" t="s">
        <v>647</v>
      </c>
      <c r="B572" s="16" t="s">
        <v>252</v>
      </c>
      <c r="C572" s="18" t="s">
        <v>212</v>
      </c>
      <c r="D572" s="16">
        <v>120</v>
      </c>
      <c r="E572" s="20">
        <f>2.157-0.3-0.108-0.06</f>
        <v>1.6889999999999998</v>
      </c>
    </row>
    <row r="573" spans="1:5" ht="14.25" x14ac:dyDescent="0.2">
      <c r="A573" s="36" t="s">
        <v>647</v>
      </c>
      <c r="B573" s="16" t="s">
        <v>440</v>
      </c>
      <c r="C573" s="18" t="s">
        <v>212</v>
      </c>
      <c r="D573" s="16">
        <v>130</v>
      </c>
      <c r="E573" s="21">
        <f>0.371</f>
        <v>0.371</v>
      </c>
    </row>
    <row r="574" spans="1:5" ht="14.25" x14ac:dyDescent="0.2">
      <c r="A574" s="36" t="s">
        <v>647</v>
      </c>
      <c r="B574" s="16" t="s">
        <v>440</v>
      </c>
      <c r="C574" s="18" t="s">
        <v>212</v>
      </c>
      <c r="D574" s="16">
        <v>140</v>
      </c>
      <c r="E574" s="21">
        <f>2.485-0.002</f>
        <v>2.4830000000000001</v>
      </c>
    </row>
    <row r="575" spans="1:5" ht="14.25" x14ac:dyDescent="0.2">
      <c r="A575" s="36" t="s">
        <v>647</v>
      </c>
      <c r="B575" s="16" t="s">
        <v>440</v>
      </c>
      <c r="C575" s="18" t="s">
        <v>212</v>
      </c>
      <c r="D575" s="16">
        <v>150</v>
      </c>
      <c r="E575" s="21">
        <f>2.347-0.002-0.458</f>
        <v>1.8870000000000002</v>
      </c>
    </row>
    <row r="576" spans="1:5" ht="14.25" x14ac:dyDescent="0.2">
      <c r="A576" s="36" t="s">
        <v>647</v>
      </c>
      <c r="B576" s="16" t="s">
        <v>440</v>
      </c>
      <c r="C576" s="18" t="s">
        <v>212</v>
      </c>
      <c r="D576" s="16">
        <v>170</v>
      </c>
      <c r="E576" s="21">
        <f>1.947</f>
        <v>1.9470000000000001</v>
      </c>
    </row>
    <row r="577" spans="1:5" ht="14.25" x14ac:dyDescent="0.2">
      <c r="A577" s="36" t="s">
        <v>647</v>
      </c>
      <c r="B577" s="16" t="s">
        <v>440</v>
      </c>
      <c r="C577" s="18" t="s">
        <v>212</v>
      </c>
      <c r="D577" s="16">
        <v>180</v>
      </c>
      <c r="E577" s="21">
        <f>2.617</f>
        <v>2.617</v>
      </c>
    </row>
    <row r="578" spans="1:5" ht="14.25" x14ac:dyDescent="0.2">
      <c r="A578" s="36" t="s">
        <v>647</v>
      </c>
      <c r="B578" s="16" t="s">
        <v>440</v>
      </c>
      <c r="C578" s="18" t="s">
        <v>212</v>
      </c>
      <c r="D578" s="16">
        <v>200</v>
      </c>
      <c r="E578" s="21">
        <f>2.633-0.084</f>
        <v>2.5489999999999999</v>
      </c>
    </row>
    <row r="579" spans="1:5" ht="14.25" x14ac:dyDescent="0.2">
      <c r="A579" s="36" t="s">
        <v>647</v>
      </c>
      <c r="B579" s="16" t="s">
        <v>440</v>
      </c>
      <c r="C579" s="18" t="s">
        <v>212</v>
      </c>
      <c r="D579" s="16" t="s">
        <v>183</v>
      </c>
      <c r="E579" s="21">
        <f>2.932-0.008-0.009-0.174</f>
        <v>2.7410000000000001</v>
      </c>
    </row>
    <row r="580" spans="1:5" ht="14.25" x14ac:dyDescent="0.2">
      <c r="A580" s="36" t="s">
        <v>647</v>
      </c>
      <c r="B580" s="5" t="s">
        <v>26</v>
      </c>
      <c r="C580" s="16" t="s">
        <v>138</v>
      </c>
      <c r="D580" s="9">
        <v>15</v>
      </c>
      <c r="E580" s="24">
        <f>0.41-0.008-0.034-0.05</f>
        <v>0.318</v>
      </c>
    </row>
    <row r="581" spans="1:5" ht="14.25" x14ac:dyDescent="0.2">
      <c r="A581" s="36" t="s">
        <v>647</v>
      </c>
      <c r="B581" s="5" t="s">
        <v>26</v>
      </c>
      <c r="C581" s="16" t="s">
        <v>138</v>
      </c>
      <c r="D581" s="9">
        <v>26</v>
      </c>
      <c r="E581" s="24">
        <f>0.41-0.162-0.044-0.023-0.024</f>
        <v>0.15699999999999997</v>
      </c>
    </row>
    <row r="582" spans="1:5" ht="14.25" x14ac:dyDescent="0.2">
      <c r="A582" s="36" t="s">
        <v>647</v>
      </c>
      <c r="B582" s="5" t="s">
        <v>26</v>
      </c>
      <c r="C582" s="16" t="s">
        <v>138</v>
      </c>
      <c r="D582" s="9">
        <v>32</v>
      </c>
      <c r="E582" s="24">
        <f>0.26</f>
        <v>0.26</v>
      </c>
    </row>
    <row r="583" spans="1:5" ht="14.25" x14ac:dyDescent="0.2">
      <c r="A583" s="36" t="s">
        <v>647</v>
      </c>
      <c r="B583" s="5" t="s">
        <v>26</v>
      </c>
      <c r="C583" s="16" t="s">
        <v>138</v>
      </c>
      <c r="D583" s="9">
        <v>56</v>
      </c>
      <c r="E583" s="24">
        <f>0.096</f>
        <v>9.6000000000000002E-2</v>
      </c>
    </row>
    <row r="584" spans="1:5" ht="28.5" x14ac:dyDescent="0.2">
      <c r="A584" s="36" t="s">
        <v>647</v>
      </c>
      <c r="B584" s="5" t="s">
        <v>26</v>
      </c>
      <c r="C584" s="16" t="s">
        <v>275</v>
      </c>
      <c r="D584" s="9">
        <v>190</v>
      </c>
      <c r="E584" s="24">
        <f>0.785</f>
        <v>0.78500000000000003</v>
      </c>
    </row>
    <row r="585" spans="1:5" ht="14.25" x14ac:dyDescent="0.2">
      <c r="A585" s="36" t="s">
        <v>647</v>
      </c>
      <c r="B585" s="5" t="s">
        <v>26</v>
      </c>
      <c r="C585" s="1" t="s">
        <v>75</v>
      </c>
      <c r="D585" s="9" t="s">
        <v>39</v>
      </c>
      <c r="E585" s="24">
        <v>0.25</v>
      </c>
    </row>
    <row r="586" spans="1:5" ht="14.25" x14ac:dyDescent="0.2">
      <c r="A586" s="36" t="s">
        <v>647</v>
      </c>
      <c r="B586" s="13" t="s">
        <v>26</v>
      </c>
      <c r="C586" s="9" t="s">
        <v>359</v>
      </c>
      <c r="D586" s="9" t="s">
        <v>324</v>
      </c>
      <c r="E586" s="22">
        <f>1.936-0.262-0.422-0.04-0.172-0.03-0.076</f>
        <v>0.93400000000000005</v>
      </c>
    </row>
    <row r="587" spans="1:5" ht="14.25" x14ac:dyDescent="0.2">
      <c r="A587" s="36" t="s">
        <v>647</v>
      </c>
      <c r="B587" s="13" t="s">
        <v>26</v>
      </c>
      <c r="C587" s="9" t="s">
        <v>359</v>
      </c>
      <c r="D587" s="5" t="s">
        <v>355</v>
      </c>
      <c r="E587" s="23">
        <f>0.578-0.352-0.03-0.04</f>
        <v>0.15599999999999997</v>
      </c>
    </row>
    <row r="588" spans="1:5" ht="14.25" x14ac:dyDescent="0.2">
      <c r="A588" s="36" t="s">
        <v>647</v>
      </c>
      <c r="B588" s="13" t="s">
        <v>26</v>
      </c>
      <c r="C588" s="9" t="s">
        <v>359</v>
      </c>
      <c r="D588" s="9" t="s">
        <v>325</v>
      </c>
      <c r="E588" s="22">
        <f>2.874-0.684-0.324-0.692-0.216-0.184</f>
        <v>0.77400000000000002</v>
      </c>
    </row>
    <row r="589" spans="1:5" ht="14.25" x14ac:dyDescent="0.2">
      <c r="A589" s="36" t="s">
        <v>647</v>
      </c>
      <c r="B589" s="13" t="s">
        <v>26</v>
      </c>
      <c r="C589" s="9" t="s">
        <v>359</v>
      </c>
      <c r="D589" s="5" t="s">
        <v>193</v>
      </c>
      <c r="E589" s="25">
        <f>2.596-0.314-0.324-0.182-0.258-0.068-0.17-0.104-0.762-0.208</f>
        <v>0.20599999999999993</v>
      </c>
    </row>
    <row r="590" spans="1:5" ht="14.25" x14ac:dyDescent="0.2">
      <c r="A590" s="36" t="s">
        <v>647</v>
      </c>
      <c r="B590" s="13" t="s">
        <v>26</v>
      </c>
      <c r="C590" s="9" t="s">
        <v>359</v>
      </c>
      <c r="D590" s="5" t="s">
        <v>192</v>
      </c>
      <c r="E590" s="23">
        <f>3.904-0.227-0.492-0.538-0.63-0.234</f>
        <v>1.7830000000000004</v>
      </c>
    </row>
    <row r="591" spans="1:5" ht="14.25" x14ac:dyDescent="0.2">
      <c r="A591" s="36" t="s">
        <v>647</v>
      </c>
      <c r="B591" s="13" t="s">
        <v>26</v>
      </c>
      <c r="C591" s="9" t="s">
        <v>199</v>
      </c>
      <c r="D591" s="5" t="s">
        <v>249</v>
      </c>
      <c r="E591" s="23">
        <f>0.116</f>
        <v>0.11600000000000001</v>
      </c>
    </row>
    <row r="592" spans="1:5" ht="14.25" x14ac:dyDescent="0.2">
      <c r="A592" s="36" t="s">
        <v>647</v>
      </c>
      <c r="B592" s="13" t="s">
        <v>26</v>
      </c>
      <c r="C592" s="9" t="s">
        <v>199</v>
      </c>
      <c r="D592" s="5" t="s">
        <v>194</v>
      </c>
      <c r="E592" s="23">
        <f>1.949-0.881-0.596-0.152-0.072-0.002-0.06</f>
        <v>0.18600000000000005</v>
      </c>
    </row>
    <row r="593" spans="1:5" ht="14.25" x14ac:dyDescent="0.2">
      <c r="A593" s="36" t="s">
        <v>647</v>
      </c>
      <c r="B593" s="13" t="s">
        <v>26</v>
      </c>
      <c r="C593" s="9" t="s">
        <v>359</v>
      </c>
      <c r="D593" s="5" t="s">
        <v>194</v>
      </c>
      <c r="E593" s="23">
        <f>1.29-0.118-0.79</f>
        <v>0.38200000000000012</v>
      </c>
    </row>
    <row r="594" spans="1:5" ht="14.25" x14ac:dyDescent="0.2">
      <c r="A594" s="36" t="s">
        <v>647</v>
      </c>
      <c r="B594" s="13" t="s">
        <v>26</v>
      </c>
      <c r="C594" s="9" t="s">
        <v>359</v>
      </c>
      <c r="D594" s="5" t="s">
        <v>326</v>
      </c>
      <c r="E594" s="23">
        <f>2.426-1.395</f>
        <v>1.0310000000000001</v>
      </c>
    </row>
    <row r="595" spans="1:5" ht="14.25" x14ac:dyDescent="0.2">
      <c r="A595" s="36" t="s">
        <v>647</v>
      </c>
      <c r="B595" s="13" t="s">
        <v>26</v>
      </c>
      <c r="C595" s="9" t="s">
        <v>199</v>
      </c>
      <c r="D595" s="5" t="s">
        <v>293</v>
      </c>
      <c r="E595" s="23">
        <v>0.66500000000000004</v>
      </c>
    </row>
    <row r="596" spans="1:5" ht="14.25" x14ac:dyDescent="0.2">
      <c r="A596" s="36" t="s">
        <v>647</v>
      </c>
      <c r="B596" s="13" t="s">
        <v>26</v>
      </c>
      <c r="C596" s="9" t="s">
        <v>199</v>
      </c>
      <c r="D596" s="5" t="s">
        <v>213</v>
      </c>
      <c r="E596" s="23">
        <f>1.684-0.354-0.862</f>
        <v>0.46800000000000008</v>
      </c>
    </row>
    <row r="597" spans="1:5" ht="14.25" x14ac:dyDescent="0.2">
      <c r="A597" s="36" t="s">
        <v>647</v>
      </c>
      <c r="B597" s="13" t="s">
        <v>26</v>
      </c>
      <c r="C597" s="9" t="s">
        <v>280</v>
      </c>
      <c r="D597" s="5" t="s">
        <v>183</v>
      </c>
      <c r="E597" s="23">
        <f>1.926-0.392</f>
        <v>1.5339999999999998</v>
      </c>
    </row>
    <row r="598" spans="1:5" ht="14.25" x14ac:dyDescent="0.2">
      <c r="A598" s="36" t="s">
        <v>647</v>
      </c>
      <c r="B598" s="13" t="s">
        <v>26</v>
      </c>
      <c r="C598" s="9" t="s">
        <v>280</v>
      </c>
      <c r="D598" s="5" t="s">
        <v>196</v>
      </c>
      <c r="E598" s="23">
        <f>2.866-0.28-0.608-0.912-0.898</f>
        <v>0.16800000000000026</v>
      </c>
    </row>
    <row r="599" spans="1:5" ht="14.25" x14ac:dyDescent="0.2">
      <c r="A599" s="36" t="s">
        <v>647</v>
      </c>
      <c r="B599" s="13" t="s">
        <v>198</v>
      </c>
      <c r="C599" s="9" t="s">
        <v>280</v>
      </c>
      <c r="D599" s="1" t="s">
        <v>197</v>
      </c>
      <c r="E599" s="26">
        <f>8.41-0.027-0.552-0.082-0.049-0.167-0.076-0.088-0.066-0.472-0.236-0.236</f>
        <v>6.3590000000000018</v>
      </c>
    </row>
    <row r="600" spans="1:5" ht="14.25" x14ac:dyDescent="0.2">
      <c r="A600" s="36" t="s">
        <v>647</v>
      </c>
      <c r="B600" s="13" t="s">
        <v>198</v>
      </c>
      <c r="C600" s="9" t="s">
        <v>280</v>
      </c>
      <c r="D600" s="1" t="s">
        <v>487</v>
      </c>
      <c r="E600" s="26">
        <f>0.236</f>
        <v>0.23599999999999999</v>
      </c>
    </row>
    <row r="601" spans="1:5" ht="14.25" x14ac:dyDescent="0.2">
      <c r="A601" s="36" t="s">
        <v>647</v>
      </c>
      <c r="B601" s="13" t="s">
        <v>198</v>
      </c>
      <c r="C601" s="9" t="s">
        <v>280</v>
      </c>
      <c r="D601" s="1" t="s">
        <v>486</v>
      </c>
      <c r="E601" s="26">
        <f>0.236</f>
        <v>0.23599999999999999</v>
      </c>
    </row>
    <row r="602" spans="1:5" ht="14.25" x14ac:dyDescent="0.2">
      <c r="A602" s="36" t="s">
        <v>647</v>
      </c>
      <c r="B602" s="5" t="s">
        <v>182</v>
      </c>
      <c r="C602" s="1" t="s">
        <v>261</v>
      </c>
      <c r="D602" s="9">
        <v>100</v>
      </c>
      <c r="E602" s="24">
        <f>1.226-0.192</f>
        <v>1.034</v>
      </c>
    </row>
    <row r="603" spans="1:5" ht="14.25" x14ac:dyDescent="0.2">
      <c r="A603" s="36" t="s">
        <v>647</v>
      </c>
      <c r="B603" s="5" t="s">
        <v>182</v>
      </c>
      <c r="C603" s="1" t="s">
        <v>261</v>
      </c>
      <c r="D603" s="9">
        <v>160</v>
      </c>
      <c r="E603" s="24">
        <f>2.603-0.925</f>
        <v>1.6780000000000002</v>
      </c>
    </row>
    <row r="604" spans="1:5" ht="14.25" x14ac:dyDescent="0.2">
      <c r="A604" s="36" t="s">
        <v>647</v>
      </c>
      <c r="B604" s="5" t="s">
        <v>182</v>
      </c>
      <c r="C604" s="1" t="s">
        <v>184</v>
      </c>
      <c r="D604" s="9" t="s">
        <v>183</v>
      </c>
      <c r="E604" s="24">
        <f>1.933-0.36</f>
        <v>1.573</v>
      </c>
    </row>
    <row r="605" spans="1:5" ht="14.25" x14ac:dyDescent="0.2">
      <c r="A605" s="36" t="s">
        <v>647</v>
      </c>
      <c r="B605" s="5" t="s">
        <v>81</v>
      </c>
      <c r="C605" s="1" t="s">
        <v>138</v>
      </c>
      <c r="D605" s="9">
        <v>50</v>
      </c>
      <c r="E605" s="24">
        <f>2.375+2.115-0.304-0.066-1-0.945-0.06-0.775</f>
        <v>1.3400000000000003</v>
      </c>
    </row>
    <row r="606" spans="1:5" ht="14.25" x14ac:dyDescent="0.2">
      <c r="A606" s="36" t="s">
        <v>647</v>
      </c>
      <c r="B606" s="5" t="s">
        <v>81</v>
      </c>
      <c r="C606" s="1" t="s">
        <v>292</v>
      </c>
      <c r="D606" s="9" t="s">
        <v>287</v>
      </c>
      <c r="E606" s="24">
        <f>2.22-1.112</f>
        <v>1.1080000000000001</v>
      </c>
    </row>
    <row r="607" spans="1:5" ht="14.25" x14ac:dyDescent="0.2">
      <c r="A607" s="36" t="s">
        <v>647</v>
      </c>
      <c r="B607" s="5" t="s">
        <v>233</v>
      </c>
      <c r="C607" s="16" t="s">
        <v>138</v>
      </c>
      <c r="D607" s="9">
        <v>25</v>
      </c>
      <c r="E607" s="24">
        <f>1.8-0.508-0.294-0.073-0.201-0.4</f>
        <v>0.32399999999999995</v>
      </c>
    </row>
    <row r="608" spans="1:5" ht="14.25" x14ac:dyDescent="0.2">
      <c r="A608" s="36" t="s">
        <v>647</v>
      </c>
      <c r="B608" s="5" t="s">
        <v>296</v>
      </c>
      <c r="C608" s="16" t="s">
        <v>342</v>
      </c>
      <c r="D608" s="9" t="s">
        <v>202</v>
      </c>
      <c r="E608" s="24">
        <f>1.982-0.586-0.116-0.026-0.016-0.015-0.015-0.232-0.015-0.015-0.03</f>
        <v>0.91599999999999993</v>
      </c>
    </row>
    <row r="609" spans="1:5" ht="14.25" x14ac:dyDescent="0.2">
      <c r="A609" s="36" t="s">
        <v>647</v>
      </c>
      <c r="B609" s="5" t="s">
        <v>296</v>
      </c>
      <c r="C609" s="16" t="s">
        <v>342</v>
      </c>
      <c r="D609" s="9" t="s">
        <v>259</v>
      </c>
      <c r="E609" s="24">
        <f>1.74-0.022-0.016-0.198-0.024</f>
        <v>1.48</v>
      </c>
    </row>
    <row r="610" spans="1:5" ht="14.25" x14ac:dyDescent="0.2">
      <c r="A610" s="36" t="s">
        <v>647</v>
      </c>
      <c r="B610" s="5" t="s">
        <v>296</v>
      </c>
      <c r="C610" s="16" t="s">
        <v>342</v>
      </c>
      <c r="D610" s="9" t="s">
        <v>259</v>
      </c>
      <c r="E610" s="24">
        <f>0.26</f>
        <v>0.26</v>
      </c>
    </row>
    <row r="611" spans="1:5" ht="14.25" x14ac:dyDescent="0.2">
      <c r="A611" s="36" t="s">
        <v>647</v>
      </c>
      <c r="B611" s="5" t="s">
        <v>296</v>
      </c>
      <c r="C611" s="16" t="s">
        <v>342</v>
      </c>
      <c r="D611" s="9" t="s">
        <v>297</v>
      </c>
      <c r="E611" s="24">
        <f>2.174</f>
        <v>2.1739999999999999</v>
      </c>
    </row>
    <row r="612" spans="1:5" ht="14.25" x14ac:dyDescent="0.2">
      <c r="A612" s="36" t="s">
        <v>647</v>
      </c>
      <c r="B612" s="5" t="s">
        <v>296</v>
      </c>
      <c r="C612" s="16" t="s">
        <v>342</v>
      </c>
      <c r="D612" s="9" t="s">
        <v>188</v>
      </c>
      <c r="E612" s="24">
        <f>1.706</f>
        <v>1.706</v>
      </c>
    </row>
    <row r="613" spans="1:5" ht="14.25" x14ac:dyDescent="0.2">
      <c r="A613" s="36" t="s">
        <v>647</v>
      </c>
      <c r="B613" s="5" t="s">
        <v>296</v>
      </c>
      <c r="C613" s="16" t="s">
        <v>342</v>
      </c>
      <c r="D613" s="9" t="s">
        <v>188</v>
      </c>
      <c r="E613" s="24">
        <f>0.388</f>
        <v>0.38800000000000001</v>
      </c>
    </row>
    <row r="614" spans="1:5" ht="14.25" x14ac:dyDescent="0.2">
      <c r="A614" s="36" t="s">
        <v>647</v>
      </c>
      <c r="B614" s="5" t="s">
        <v>296</v>
      </c>
      <c r="C614" s="16" t="s">
        <v>342</v>
      </c>
      <c r="D614" s="9" t="s">
        <v>260</v>
      </c>
      <c r="E614" s="24">
        <f>1.73-0.02-0.027</f>
        <v>1.6830000000000001</v>
      </c>
    </row>
    <row r="615" spans="1:5" ht="14.25" x14ac:dyDescent="0.2">
      <c r="A615" s="36" t="s">
        <v>647</v>
      </c>
      <c r="B615" s="5" t="s">
        <v>296</v>
      </c>
      <c r="C615" s="16" t="s">
        <v>342</v>
      </c>
      <c r="D615" s="9" t="s">
        <v>203</v>
      </c>
      <c r="E615" s="24">
        <f>2.43</f>
        <v>2.4300000000000002</v>
      </c>
    </row>
    <row r="616" spans="1:5" ht="14.25" x14ac:dyDescent="0.2">
      <c r="A616" s="36" t="s">
        <v>647</v>
      </c>
      <c r="B616" s="5" t="s">
        <v>296</v>
      </c>
      <c r="C616" s="16" t="s">
        <v>342</v>
      </c>
      <c r="D616" s="9" t="s">
        <v>299</v>
      </c>
      <c r="E616" s="24">
        <f>2.45-0.078-0.09-0.414-0.02-0.864-0.056-0.718</f>
        <v>0.21000000000000052</v>
      </c>
    </row>
    <row r="617" spans="1:5" ht="14.25" x14ac:dyDescent="0.2">
      <c r="A617" s="36" t="s">
        <v>647</v>
      </c>
      <c r="B617" s="5" t="s">
        <v>296</v>
      </c>
      <c r="C617" s="16" t="s">
        <v>342</v>
      </c>
      <c r="D617" s="9" t="s">
        <v>299</v>
      </c>
      <c r="E617" s="24">
        <f>2.496-0.888</f>
        <v>1.6080000000000001</v>
      </c>
    </row>
    <row r="618" spans="1:5" ht="14.25" x14ac:dyDescent="0.2">
      <c r="A618" s="36" t="s">
        <v>647</v>
      </c>
      <c r="B618" s="5" t="s">
        <v>296</v>
      </c>
      <c r="C618" s="16" t="s">
        <v>342</v>
      </c>
      <c r="D618" s="9" t="s">
        <v>350</v>
      </c>
      <c r="E618" s="24">
        <f>0.335-0.073</f>
        <v>0.26200000000000001</v>
      </c>
    </row>
    <row r="619" spans="1:5" ht="14.25" x14ac:dyDescent="0.2">
      <c r="A619" s="36" t="s">
        <v>647</v>
      </c>
      <c r="B619" s="5" t="s">
        <v>296</v>
      </c>
      <c r="C619" s="16" t="s">
        <v>342</v>
      </c>
      <c r="D619" s="9" t="s">
        <v>300</v>
      </c>
      <c r="E619" s="24">
        <f>1.722</f>
        <v>1.722</v>
      </c>
    </row>
    <row r="620" spans="1:5" ht="14.25" x14ac:dyDescent="0.2">
      <c r="A620" s="36" t="s">
        <v>647</v>
      </c>
      <c r="B620" s="5" t="s">
        <v>296</v>
      </c>
      <c r="C620" s="16" t="s">
        <v>342</v>
      </c>
      <c r="D620" s="9" t="s">
        <v>346</v>
      </c>
      <c r="E620" s="24">
        <f>1.846</f>
        <v>1.8460000000000001</v>
      </c>
    </row>
    <row r="621" spans="1:5" ht="14.25" x14ac:dyDescent="0.2">
      <c r="A621" s="36" t="s">
        <v>647</v>
      </c>
      <c r="B621" s="5" t="s">
        <v>296</v>
      </c>
      <c r="C621" s="16" t="s">
        <v>342</v>
      </c>
      <c r="D621" s="9" t="s">
        <v>347</v>
      </c>
      <c r="E621" s="24">
        <f>2.48-0.47-0.119-0.005-0.08-1.278</f>
        <v>0.5279999999999998</v>
      </c>
    </row>
    <row r="622" spans="1:5" ht="14.25" x14ac:dyDescent="0.2">
      <c r="A622" s="36" t="s">
        <v>647</v>
      </c>
      <c r="B622" s="5" t="s">
        <v>296</v>
      </c>
      <c r="C622" s="16" t="s">
        <v>342</v>
      </c>
      <c r="D622" s="9" t="s">
        <v>349</v>
      </c>
      <c r="E622" s="24">
        <f>0.119</f>
        <v>0.11899999999999999</v>
      </c>
    </row>
    <row r="623" spans="1:5" ht="14.25" x14ac:dyDescent="0.2">
      <c r="A623" s="36" t="s">
        <v>647</v>
      </c>
      <c r="B623" s="5" t="s">
        <v>296</v>
      </c>
      <c r="C623" s="16" t="s">
        <v>342</v>
      </c>
      <c r="D623" s="9" t="s">
        <v>549</v>
      </c>
      <c r="E623" s="24">
        <f>2.269</f>
        <v>2.2690000000000001</v>
      </c>
    </row>
    <row r="624" spans="1:5" ht="14.25" x14ac:dyDescent="0.2">
      <c r="A624" s="36" t="s">
        <v>647</v>
      </c>
      <c r="B624" s="5" t="s">
        <v>296</v>
      </c>
      <c r="C624" s="16" t="s">
        <v>342</v>
      </c>
      <c r="D624" s="9" t="s">
        <v>326</v>
      </c>
      <c r="E624" s="24">
        <f>2.214-0.55</f>
        <v>1.6639999999999999</v>
      </c>
    </row>
    <row r="625" spans="1:5" ht="28.5" x14ac:dyDescent="0.2">
      <c r="A625" s="36" t="s">
        <v>647</v>
      </c>
      <c r="B625" s="5" t="s">
        <v>63</v>
      </c>
      <c r="C625" s="16" t="s">
        <v>380</v>
      </c>
      <c r="D625" s="16">
        <v>70</v>
      </c>
      <c r="E625" s="20">
        <f>1.59-0.55-0.39</f>
        <v>0.65</v>
      </c>
    </row>
    <row r="626" spans="1:5" ht="28.5" x14ac:dyDescent="0.2">
      <c r="A626" s="36" t="s">
        <v>647</v>
      </c>
      <c r="B626" s="5" t="s">
        <v>63</v>
      </c>
      <c r="C626" s="16" t="s">
        <v>277</v>
      </c>
      <c r="D626" s="16">
        <v>80</v>
      </c>
      <c r="E626" s="20">
        <f>0.77-0.606</f>
        <v>0.16400000000000003</v>
      </c>
    </row>
    <row r="627" spans="1:5" ht="28.5" x14ac:dyDescent="0.2">
      <c r="A627" s="36" t="s">
        <v>647</v>
      </c>
      <c r="B627" s="5" t="s">
        <v>63</v>
      </c>
      <c r="C627" s="16" t="s">
        <v>277</v>
      </c>
      <c r="D627" s="16">
        <v>80</v>
      </c>
      <c r="E627" s="20">
        <f>4.506-0.172-0.309-0.452-0.25-0.192-2.06</f>
        <v>1.0710000000000002</v>
      </c>
    </row>
    <row r="628" spans="1:5" ht="28.5" x14ac:dyDescent="0.2">
      <c r="A628" s="36" t="s">
        <v>647</v>
      </c>
      <c r="B628" s="5" t="s">
        <v>63</v>
      </c>
      <c r="C628" s="16" t="s">
        <v>263</v>
      </c>
      <c r="D628" s="16">
        <v>190</v>
      </c>
      <c r="E628" s="20">
        <f>0.878-0.449-0.224+0.001-0.036</f>
        <v>0.16999999999999998</v>
      </c>
    </row>
    <row r="629" spans="1:5" ht="28.5" x14ac:dyDescent="0.2">
      <c r="A629" s="36" t="s">
        <v>647</v>
      </c>
      <c r="B629" s="5" t="s">
        <v>63</v>
      </c>
      <c r="C629" s="16" t="s">
        <v>263</v>
      </c>
      <c r="D629" s="16">
        <v>190</v>
      </c>
      <c r="E629" s="20">
        <f>0.228-0.116</f>
        <v>0.112</v>
      </c>
    </row>
    <row r="630" spans="1:5" ht="28.5" x14ac:dyDescent="0.2">
      <c r="A630" s="36" t="s">
        <v>647</v>
      </c>
      <c r="B630" s="5" t="s">
        <v>63</v>
      </c>
      <c r="C630" s="16" t="s">
        <v>263</v>
      </c>
      <c r="D630" s="16">
        <v>200</v>
      </c>
      <c r="E630" s="20">
        <f>1.212-0.81</f>
        <v>0.40199999999999991</v>
      </c>
    </row>
    <row r="631" spans="1:5" ht="28.5" x14ac:dyDescent="0.2">
      <c r="A631" s="36" t="s">
        <v>647</v>
      </c>
      <c r="B631" s="5" t="s">
        <v>63</v>
      </c>
      <c r="C631" s="16" t="s">
        <v>263</v>
      </c>
      <c r="D631" s="16">
        <v>230</v>
      </c>
      <c r="E631" s="20">
        <f>1.074-0.536-0.004</f>
        <v>0.53400000000000003</v>
      </c>
    </row>
    <row r="632" spans="1:5" ht="14.25" x14ac:dyDescent="0.2">
      <c r="A632" s="36" t="s">
        <v>647</v>
      </c>
      <c r="B632" s="5" t="s">
        <v>63</v>
      </c>
      <c r="C632" s="16" t="s">
        <v>144</v>
      </c>
      <c r="D632" s="9">
        <v>260</v>
      </c>
      <c r="E632" s="24">
        <f>1.755-0.256</f>
        <v>1.4989999999999999</v>
      </c>
    </row>
    <row r="633" spans="1:5" ht="14.25" x14ac:dyDescent="0.2">
      <c r="A633" s="36" t="s">
        <v>647</v>
      </c>
      <c r="B633" s="5" t="s">
        <v>63</v>
      </c>
      <c r="C633" s="16" t="s">
        <v>144</v>
      </c>
      <c r="D633" s="9">
        <v>280</v>
      </c>
      <c r="E633" s="24">
        <f>0.435-0.305</f>
        <v>0.13</v>
      </c>
    </row>
    <row r="634" spans="1:5" ht="28.5" x14ac:dyDescent="0.2">
      <c r="A634" s="36" t="s">
        <v>647</v>
      </c>
      <c r="B634" s="1" t="s">
        <v>74</v>
      </c>
      <c r="C634" s="16" t="s">
        <v>423</v>
      </c>
      <c r="D634" s="16">
        <v>8</v>
      </c>
      <c r="E634" s="20">
        <f>0.08-0.05</f>
        <v>0.03</v>
      </c>
    </row>
    <row r="635" spans="1:5" ht="14.25" x14ac:dyDescent="0.2">
      <c r="A635" s="36" t="s">
        <v>647</v>
      </c>
      <c r="B635" s="1" t="s">
        <v>74</v>
      </c>
      <c r="C635" s="16" t="s">
        <v>200</v>
      </c>
      <c r="D635" s="16">
        <v>150</v>
      </c>
      <c r="E635" s="21">
        <f>3.472-0.764-0.104-0.016-1.8</f>
        <v>0.78800000000000003</v>
      </c>
    </row>
    <row r="636" spans="1:5" ht="14.25" x14ac:dyDescent="0.2">
      <c r="A636" s="36" t="s">
        <v>647</v>
      </c>
      <c r="B636" s="1" t="s">
        <v>74</v>
      </c>
      <c r="C636" s="16" t="s">
        <v>200</v>
      </c>
      <c r="D636" s="16">
        <v>150</v>
      </c>
      <c r="E636" s="21">
        <f>0.682</f>
        <v>0.68200000000000005</v>
      </c>
    </row>
    <row r="637" spans="1:5" ht="14.25" x14ac:dyDescent="0.2">
      <c r="A637" s="36" t="s">
        <v>647</v>
      </c>
      <c r="B637" s="1" t="s">
        <v>74</v>
      </c>
      <c r="C637" s="16" t="s">
        <v>200</v>
      </c>
      <c r="D637" s="16">
        <v>160</v>
      </c>
      <c r="E637" s="20">
        <f>1.028-0.02-0.024-0.456-0.084-0.015-0.012</f>
        <v>0.41699999999999998</v>
      </c>
    </row>
    <row r="638" spans="1:5" ht="14.25" x14ac:dyDescent="0.2">
      <c r="A638" s="36" t="s">
        <v>647</v>
      </c>
      <c r="B638" s="1" t="s">
        <v>74</v>
      </c>
      <c r="C638" s="16" t="s">
        <v>200</v>
      </c>
      <c r="D638" s="16">
        <v>160</v>
      </c>
      <c r="E638" s="20">
        <f>3.267-0.003-1.048-1.006</f>
        <v>1.2099999999999997</v>
      </c>
    </row>
    <row r="639" spans="1:5" ht="14.25" x14ac:dyDescent="0.2">
      <c r="A639" s="36" t="s">
        <v>647</v>
      </c>
      <c r="B639" s="1" t="s">
        <v>74</v>
      </c>
      <c r="C639" s="16" t="s">
        <v>200</v>
      </c>
      <c r="D639" s="16">
        <v>170</v>
      </c>
      <c r="E639" s="21">
        <f>2.98</f>
        <v>2.98</v>
      </c>
    </row>
    <row r="640" spans="1:5" ht="14.25" x14ac:dyDescent="0.2">
      <c r="A640" s="36" t="s">
        <v>647</v>
      </c>
      <c r="B640" s="1" t="s">
        <v>74</v>
      </c>
      <c r="C640" s="16" t="s">
        <v>200</v>
      </c>
      <c r="D640" s="16">
        <v>180</v>
      </c>
      <c r="E640" s="21">
        <f>3.064-2</f>
        <v>1.0640000000000001</v>
      </c>
    </row>
    <row r="641" spans="1:5" ht="14.25" x14ac:dyDescent="0.2">
      <c r="A641" s="36" t="s">
        <v>647</v>
      </c>
      <c r="B641" s="1" t="s">
        <v>74</v>
      </c>
      <c r="C641" s="16" t="s">
        <v>200</v>
      </c>
      <c r="D641" s="16">
        <v>190</v>
      </c>
      <c r="E641" s="20">
        <f>1.312-0.005-0.08-0.028-0.136-0.312-0.337</f>
        <v>0.41400000000000009</v>
      </c>
    </row>
    <row r="642" spans="1:5" ht="14.25" x14ac:dyDescent="0.2">
      <c r="A642" s="36" t="s">
        <v>647</v>
      </c>
      <c r="B642" s="1" t="s">
        <v>74</v>
      </c>
      <c r="C642" s="16" t="s">
        <v>200</v>
      </c>
      <c r="D642" s="16">
        <v>190</v>
      </c>
      <c r="E642" s="21">
        <f>2.228-0.003</f>
        <v>2.2250000000000001</v>
      </c>
    </row>
    <row r="643" spans="1:5" ht="14.25" x14ac:dyDescent="0.2">
      <c r="A643" s="36" t="s">
        <v>647</v>
      </c>
      <c r="B643" s="1" t="s">
        <v>74</v>
      </c>
      <c r="C643" s="16" t="s">
        <v>262</v>
      </c>
      <c r="D643" s="16">
        <v>220</v>
      </c>
      <c r="E643" s="21">
        <f>1.26-0.464-0.044-0.37</f>
        <v>0.38200000000000001</v>
      </c>
    </row>
    <row r="644" spans="1:5" ht="14.25" x14ac:dyDescent="0.2">
      <c r="A644" s="36" t="s">
        <v>647</v>
      </c>
      <c r="B644" s="1" t="s">
        <v>74</v>
      </c>
      <c r="C644" s="16" t="s">
        <v>262</v>
      </c>
      <c r="D644" s="16">
        <v>220</v>
      </c>
      <c r="E644" s="21">
        <f>1.356</f>
        <v>1.3560000000000001</v>
      </c>
    </row>
    <row r="645" spans="1:5" ht="14.25" x14ac:dyDescent="0.2">
      <c r="A645" s="36" t="s">
        <v>647</v>
      </c>
      <c r="B645" s="1" t="s">
        <v>74</v>
      </c>
      <c r="C645" s="16" t="s">
        <v>176</v>
      </c>
      <c r="D645" s="16">
        <v>230</v>
      </c>
      <c r="E645" s="20">
        <f>2.558-0.802-0.168-0.042-0.046-0.016-0.71</f>
        <v>0.7739999999999998</v>
      </c>
    </row>
    <row r="646" spans="1:5" ht="14.25" x14ac:dyDescent="0.2">
      <c r="A646" s="36" t="s">
        <v>647</v>
      </c>
      <c r="B646" s="1" t="s">
        <v>74</v>
      </c>
      <c r="C646" s="16" t="s">
        <v>176</v>
      </c>
      <c r="D646" s="16">
        <v>230</v>
      </c>
      <c r="E646" s="20">
        <f>1.724</f>
        <v>1.724</v>
      </c>
    </row>
    <row r="647" spans="1:5" ht="14.25" x14ac:dyDescent="0.2">
      <c r="A647" s="36" t="s">
        <v>647</v>
      </c>
      <c r="B647" s="1" t="s">
        <v>74</v>
      </c>
      <c r="C647" s="16" t="s">
        <v>176</v>
      </c>
      <c r="D647" s="16">
        <v>240</v>
      </c>
      <c r="E647" s="20">
        <f>1.288-0.36-0.432</f>
        <v>0.49600000000000005</v>
      </c>
    </row>
    <row r="648" spans="1:5" ht="14.25" x14ac:dyDescent="0.2">
      <c r="A648" s="36" t="s">
        <v>647</v>
      </c>
      <c r="B648" s="1" t="s">
        <v>74</v>
      </c>
      <c r="C648" s="16" t="s">
        <v>176</v>
      </c>
      <c r="D648" s="16">
        <v>240</v>
      </c>
      <c r="E648" s="20">
        <f>0.97</f>
        <v>0.97</v>
      </c>
    </row>
    <row r="649" spans="1:5" ht="14.25" x14ac:dyDescent="0.2">
      <c r="A649" s="36" t="s">
        <v>647</v>
      </c>
      <c r="B649" s="1" t="s">
        <v>74</v>
      </c>
      <c r="C649" s="16" t="s">
        <v>176</v>
      </c>
      <c r="D649" s="16">
        <v>240</v>
      </c>
      <c r="E649" s="20">
        <f>1.959</f>
        <v>1.9590000000000001</v>
      </c>
    </row>
    <row r="650" spans="1:5" ht="14.25" x14ac:dyDescent="0.2">
      <c r="A650" s="36" t="s">
        <v>647</v>
      </c>
      <c r="B650" s="1" t="s">
        <v>74</v>
      </c>
      <c r="C650" s="16" t="s">
        <v>176</v>
      </c>
      <c r="D650" s="16">
        <v>250</v>
      </c>
      <c r="E650" s="21">
        <f>1.012</f>
        <v>1.012</v>
      </c>
    </row>
    <row r="651" spans="1:5" ht="14.25" x14ac:dyDescent="0.2">
      <c r="A651" s="36" t="s">
        <v>647</v>
      </c>
      <c r="B651" s="1" t="s">
        <v>74</v>
      </c>
      <c r="C651" s="16" t="s">
        <v>176</v>
      </c>
      <c r="D651" s="16">
        <v>260</v>
      </c>
      <c r="E651" s="21">
        <f>1.67-0.06</f>
        <v>1.6099999999999999</v>
      </c>
    </row>
    <row r="652" spans="1:5" ht="14.25" x14ac:dyDescent="0.2">
      <c r="A652" s="36" t="s">
        <v>647</v>
      </c>
      <c r="B652" s="1" t="s">
        <v>74</v>
      </c>
      <c r="C652" s="16" t="s">
        <v>176</v>
      </c>
      <c r="D652" s="16">
        <v>260</v>
      </c>
      <c r="E652" s="21">
        <f>1.99</f>
        <v>1.99</v>
      </c>
    </row>
    <row r="653" spans="1:5" ht="14.25" x14ac:dyDescent="0.2">
      <c r="A653" s="36" t="s">
        <v>647</v>
      </c>
      <c r="B653" s="1" t="s">
        <v>74</v>
      </c>
      <c r="C653" s="16" t="s">
        <v>176</v>
      </c>
      <c r="D653" s="16">
        <v>290</v>
      </c>
      <c r="E653" s="21">
        <f>2.373-0.01-0.476-1.436-0.06</f>
        <v>0.39100000000000051</v>
      </c>
    </row>
    <row r="654" spans="1:5" ht="14.25" x14ac:dyDescent="0.2">
      <c r="A654" s="36" t="s">
        <v>647</v>
      </c>
      <c r="B654" s="1" t="s">
        <v>74</v>
      </c>
      <c r="C654" s="16" t="s">
        <v>176</v>
      </c>
      <c r="D654" s="16">
        <v>300</v>
      </c>
      <c r="E654" s="20">
        <f>1.744-1.102-0.038-0.036-0.036-0.28-0.004-0.066-0.004-0.07-0.046</f>
        <v>6.1999999999999764E-2</v>
      </c>
    </row>
    <row r="655" spans="1:5" ht="14.25" x14ac:dyDescent="0.2">
      <c r="A655" s="36" t="s">
        <v>647</v>
      </c>
      <c r="B655" s="1" t="s">
        <v>74</v>
      </c>
      <c r="C655" s="16" t="s">
        <v>176</v>
      </c>
      <c r="D655" s="16">
        <v>300</v>
      </c>
      <c r="E655" s="20">
        <f>2.69-0.011-0.078</f>
        <v>2.601</v>
      </c>
    </row>
    <row r="656" spans="1:5" ht="14.25" x14ac:dyDescent="0.2">
      <c r="A656" s="36" t="s">
        <v>647</v>
      </c>
      <c r="B656" s="1" t="s">
        <v>74</v>
      </c>
      <c r="C656" s="16" t="s">
        <v>176</v>
      </c>
      <c r="D656" s="16">
        <v>330</v>
      </c>
      <c r="E656" s="20">
        <f>1.679-0.332-0.412-0.44</f>
        <v>0.49500000000000005</v>
      </c>
    </row>
    <row r="657" spans="1:5" ht="14.25" x14ac:dyDescent="0.2">
      <c r="A657" s="36" t="s">
        <v>647</v>
      </c>
      <c r="B657" s="1" t="s">
        <v>74</v>
      </c>
      <c r="C657" s="16" t="s">
        <v>176</v>
      </c>
      <c r="D657" s="16">
        <v>350</v>
      </c>
      <c r="E657" s="20">
        <f>2.675-0.77-0.011-0.416</f>
        <v>1.478</v>
      </c>
    </row>
    <row r="658" spans="1:5" ht="14.25" x14ac:dyDescent="0.2">
      <c r="A658" s="36" t="s">
        <v>647</v>
      </c>
      <c r="B658" s="1" t="s">
        <v>74</v>
      </c>
      <c r="C658" s="16" t="s">
        <v>176</v>
      </c>
      <c r="D658" s="16">
        <v>380</v>
      </c>
      <c r="E658" s="20">
        <f>3.5-2.218-0.02-0.478</f>
        <v>0.78400000000000003</v>
      </c>
    </row>
    <row r="659" spans="1:5" ht="14.25" x14ac:dyDescent="0.2">
      <c r="A659" s="36" t="s">
        <v>647</v>
      </c>
      <c r="B659" s="1" t="s">
        <v>74</v>
      </c>
      <c r="C659" s="1" t="s">
        <v>387</v>
      </c>
      <c r="D659" s="16" t="s">
        <v>386</v>
      </c>
      <c r="E659" s="21">
        <f>0.478-0.096-0.027-0.026-0.026</f>
        <v>0.30299999999999994</v>
      </c>
    </row>
    <row r="660" spans="1:5" ht="14.25" x14ac:dyDescent="0.2">
      <c r="A660" s="36" t="s">
        <v>647</v>
      </c>
      <c r="B660" s="1" t="s">
        <v>74</v>
      </c>
      <c r="C660" s="1" t="s">
        <v>387</v>
      </c>
      <c r="D660" s="16" t="s">
        <v>382</v>
      </c>
      <c r="E660" s="21">
        <f>0.884-0.16-0.052-0.052</f>
        <v>0.61999999999999988</v>
      </c>
    </row>
    <row r="661" spans="1:5" ht="14.25" x14ac:dyDescent="0.2">
      <c r="A661" s="36" t="s">
        <v>647</v>
      </c>
      <c r="B661" s="1" t="s">
        <v>74</v>
      </c>
      <c r="C661" s="1" t="s">
        <v>387</v>
      </c>
      <c r="D661" s="16" t="s">
        <v>383</v>
      </c>
      <c r="E661" s="21">
        <f>0.898+0.198-0.324-0.059-0.01-0.172</f>
        <v>0.53100000000000014</v>
      </c>
    </row>
    <row r="662" spans="1:5" ht="14.25" x14ac:dyDescent="0.2">
      <c r="A662" s="36" t="s">
        <v>647</v>
      </c>
      <c r="B662" s="1" t="s">
        <v>74</v>
      </c>
      <c r="C662" s="1" t="s">
        <v>387</v>
      </c>
      <c r="D662" s="16" t="s">
        <v>384</v>
      </c>
      <c r="E662" s="21">
        <f>0.55-0.15-0.074-0.08</f>
        <v>0.246</v>
      </c>
    </row>
    <row r="663" spans="1:5" ht="14.25" x14ac:dyDescent="0.2">
      <c r="A663" s="36" t="s">
        <v>647</v>
      </c>
      <c r="B663" s="1" t="s">
        <v>74</v>
      </c>
      <c r="C663" s="1" t="s">
        <v>387</v>
      </c>
      <c r="D663" s="16" t="s">
        <v>385</v>
      </c>
      <c r="E663" s="21">
        <f>0.974+0.36-0.315-0.082-0.334</f>
        <v>0.6030000000000002</v>
      </c>
    </row>
    <row r="664" spans="1:5" ht="14.25" x14ac:dyDescent="0.2">
      <c r="A664" s="36" t="s">
        <v>647</v>
      </c>
      <c r="B664" s="1" t="s">
        <v>74</v>
      </c>
      <c r="C664" s="1" t="s">
        <v>189</v>
      </c>
      <c r="D664" s="16" t="s">
        <v>258</v>
      </c>
      <c r="E664" s="21">
        <f>1.958-0.072-0.256-0.254</f>
        <v>1.3759999999999999</v>
      </c>
    </row>
    <row r="665" spans="1:5" ht="14.25" x14ac:dyDescent="0.2">
      <c r="A665" s="36" t="s">
        <v>647</v>
      </c>
      <c r="B665" s="1" t="s">
        <v>74</v>
      </c>
      <c r="C665" s="1" t="s">
        <v>189</v>
      </c>
      <c r="D665" s="16" t="s">
        <v>258</v>
      </c>
      <c r="E665" s="21">
        <f>1.146</f>
        <v>1.1459999999999999</v>
      </c>
    </row>
    <row r="666" spans="1:5" ht="14.25" x14ac:dyDescent="0.2">
      <c r="A666" s="36" t="s">
        <v>647</v>
      </c>
      <c r="B666" s="1" t="s">
        <v>74</v>
      </c>
      <c r="C666" s="1" t="s">
        <v>189</v>
      </c>
      <c r="D666" s="16" t="s">
        <v>202</v>
      </c>
      <c r="E666" s="21">
        <f>1.084-0.404-0.624</f>
        <v>5.600000000000005E-2</v>
      </c>
    </row>
    <row r="667" spans="1:5" ht="14.25" x14ac:dyDescent="0.2">
      <c r="A667" s="36" t="s">
        <v>647</v>
      </c>
      <c r="B667" s="1" t="s">
        <v>74</v>
      </c>
      <c r="C667" s="1" t="s">
        <v>246</v>
      </c>
      <c r="D667" s="16" t="s">
        <v>240</v>
      </c>
      <c r="E667" s="21">
        <f>2.031-0.568-0.534</f>
        <v>0.92900000000000005</v>
      </c>
    </row>
    <row r="668" spans="1:5" ht="14.25" x14ac:dyDescent="0.2">
      <c r="A668" s="36" t="s">
        <v>647</v>
      </c>
      <c r="B668" s="1" t="s">
        <v>74</v>
      </c>
      <c r="C668" s="1" t="s">
        <v>246</v>
      </c>
      <c r="D668" s="16" t="s">
        <v>259</v>
      </c>
      <c r="E668" s="20">
        <f>1.039-0.07-0.02-0.198-0.096-0.036-0.19-0.355</f>
        <v>7.3999999999999899E-2</v>
      </c>
    </row>
    <row r="669" spans="1:5" ht="14.25" x14ac:dyDescent="0.2">
      <c r="A669" s="36" t="s">
        <v>647</v>
      </c>
      <c r="B669" s="1" t="s">
        <v>74</v>
      </c>
      <c r="C669" s="1" t="s">
        <v>189</v>
      </c>
      <c r="D669" s="16" t="s">
        <v>316</v>
      </c>
      <c r="E669" s="21">
        <v>2.7E-2</v>
      </c>
    </row>
    <row r="670" spans="1:5" ht="14.25" x14ac:dyDescent="0.2">
      <c r="A670" s="36" t="s">
        <v>647</v>
      </c>
      <c r="B670" s="1" t="s">
        <v>74</v>
      </c>
      <c r="C670" s="1" t="s">
        <v>189</v>
      </c>
      <c r="D670" s="16" t="s">
        <v>317</v>
      </c>
      <c r="E670" s="21">
        <v>2.5999999999999999E-2</v>
      </c>
    </row>
    <row r="671" spans="1:5" ht="14.25" x14ac:dyDescent="0.2">
      <c r="A671" s="36" t="s">
        <v>647</v>
      </c>
      <c r="B671" s="1" t="s">
        <v>74</v>
      </c>
      <c r="C671" s="1" t="s">
        <v>189</v>
      </c>
      <c r="D671" s="16" t="s">
        <v>318</v>
      </c>
      <c r="E671" s="21">
        <v>2.5000000000000001E-2</v>
      </c>
    </row>
    <row r="672" spans="1:5" ht="14.25" x14ac:dyDescent="0.2">
      <c r="A672" s="36" t="s">
        <v>647</v>
      </c>
      <c r="B672" s="1" t="s">
        <v>74</v>
      </c>
      <c r="C672" s="1" t="s">
        <v>189</v>
      </c>
      <c r="D672" s="16" t="s">
        <v>188</v>
      </c>
      <c r="E672" s="21">
        <f>2.828-0.19-0.126-0.206-0.392-0.24-0.168</f>
        <v>1.5060000000000002</v>
      </c>
    </row>
    <row r="673" spans="1:5" ht="14.25" x14ac:dyDescent="0.2">
      <c r="A673" s="36" t="s">
        <v>647</v>
      </c>
      <c r="B673" s="1" t="s">
        <v>74</v>
      </c>
      <c r="C673" s="1" t="s">
        <v>189</v>
      </c>
      <c r="D673" s="16" t="s">
        <v>188</v>
      </c>
      <c r="E673" s="21">
        <f>2.179</f>
        <v>2.1789999999999998</v>
      </c>
    </row>
    <row r="674" spans="1:5" ht="14.25" x14ac:dyDescent="0.2">
      <c r="A674" s="36" t="s">
        <v>647</v>
      </c>
      <c r="B674" s="1" t="s">
        <v>74</v>
      </c>
      <c r="C674" s="1" t="s">
        <v>189</v>
      </c>
      <c r="D674" s="16" t="s">
        <v>260</v>
      </c>
      <c r="E674" s="21">
        <f>2.028-0.414-0.474-0.064-0.017-0.128-0.101-0.25-0.116</f>
        <v>0.46400000000000019</v>
      </c>
    </row>
    <row r="675" spans="1:5" ht="14.25" x14ac:dyDescent="0.2">
      <c r="A675" s="36" t="s">
        <v>647</v>
      </c>
      <c r="B675" s="1" t="s">
        <v>74</v>
      </c>
      <c r="C675" s="1" t="s">
        <v>189</v>
      </c>
      <c r="D675" s="16" t="s">
        <v>260</v>
      </c>
      <c r="E675" s="21">
        <f>1.53-0.362</f>
        <v>1.1680000000000001</v>
      </c>
    </row>
    <row r="676" spans="1:5" ht="14.25" x14ac:dyDescent="0.2">
      <c r="A676" s="36" t="s">
        <v>647</v>
      </c>
      <c r="B676" s="1" t="s">
        <v>74</v>
      </c>
      <c r="C676" s="1" t="s">
        <v>189</v>
      </c>
      <c r="D676" s="16" t="s">
        <v>260</v>
      </c>
      <c r="E676" s="21">
        <f>2.343</f>
        <v>2.343</v>
      </c>
    </row>
    <row r="677" spans="1:5" ht="14.25" x14ac:dyDescent="0.2">
      <c r="A677" s="36" t="s">
        <v>647</v>
      </c>
      <c r="B677" s="1" t="s">
        <v>74</v>
      </c>
      <c r="C677" s="1" t="s">
        <v>189</v>
      </c>
      <c r="D677" s="16" t="s">
        <v>235</v>
      </c>
      <c r="E677" s="20">
        <f>0.494-0.032-0.06-0.06</f>
        <v>0.34199999999999997</v>
      </c>
    </row>
    <row r="678" spans="1:5" ht="14.25" x14ac:dyDescent="0.2">
      <c r="A678" s="36" t="s">
        <v>647</v>
      </c>
      <c r="B678" s="1" t="s">
        <v>74</v>
      </c>
      <c r="C678" s="1" t="s">
        <v>189</v>
      </c>
      <c r="D678" s="16" t="s">
        <v>235</v>
      </c>
      <c r="E678" s="20">
        <f>0.463</f>
        <v>0.46300000000000002</v>
      </c>
    </row>
    <row r="679" spans="1:5" ht="14.25" x14ac:dyDescent="0.2">
      <c r="A679" s="36" t="s">
        <v>647</v>
      </c>
      <c r="B679" s="1" t="s">
        <v>74</v>
      </c>
      <c r="C679" s="1" t="s">
        <v>189</v>
      </c>
      <c r="D679" s="16" t="s">
        <v>319</v>
      </c>
      <c r="E679" s="21">
        <v>2.8000000000000001E-2</v>
      </c>
    </row>
    <row r="680" spans="1:5" ht="14.25" x14ac:dyDescent="0.2">
      <c r="A680" s="36" t="s">
        <v>647</v>
      </c>
      <c r="B680" s="1" t="s">
        <v>74</v>
      </c>
      <c r="C680" s="1" t="s">
        <v>189</v>
      </c>
      <c r="D680" s="16" t="s">
        <v>203</v>
      </c>
      <c r="E680" s="21">
        <f>1.788-0.306-0.004-0.314-0.35-0.128-0.21</f>
        <v>0.47599999999999998</v>
      </c>
    </row>
    <row r="681" spans="1:5" ht="14.25" x14ac:dyDescent="0.2">
      <c r="A681" s="36" t="s">
        <v>647</v>
      </c>
      <c r="B681" s="1" t="s">
        <v>74</v>
      </c>
      <c r="C681" s="1" t="s">
        <v>189</v>
      </c>
      <c r="D681" s="16" t="s">
        <v>203</v>
      </c>
      <c r="E681" s="21">
        <f>7.956-0.002-0.412-0.458</f>
        <v>7.0840000000000005</v>
      </c>
    </row>
    <row r="682" spans="1:5" ht="14.25" x14ac:dyDescent="0.2">
      <c r="A682" s="36" t="s">
        <v>647</v>
      </c>
      <c r="B682" s="1" t="s">
        <v>74</v>
      </c>
      <c r="C682" s="1" t="s">
        <v>189</v>
      </c>
      <c r="D682" s="16" t="s">
        <v>298</v>
      </c>
      <c r="E682" s="21">
        <f>2.182-0.025-0.025-0.052-0.16</f>
        <v>1.9200000000000002</v>
      </c>
    </row>
    <row r="683" spans="1:5" ht="14.25" x14ac:dyDescent="0.2">
      <c r="A683" s="36" t="s">
        <v>647</v>
      </c>
      <c r="B683" s="1" t="s">
        <v>74</v>
      </c>
      <c r="C683" s="1" t="s">
        <v>189</v>
      </c>
      <c r="D683" s="16" t="s">
        <v>298</v>
      </c>
      <c r="E683" s="21">
        <f>0.689</f>
        <v>0.68899999999999995</v>
      </c>
    </row>
    <row r="684" spans="1:5" ht="14.25" x14ac:dyDescent="0.2">
      <c r="A684" s="36" t="s">
        <v>647</v>
      </c>
      <c r="B684" s="1" t="s">
        <v>74</v>
      </c>
      <c r="C684" s="1" t="s">
        <v>189</v>
      </c>
      <c r="D684" s="16" t="s">
        <v>299</v>
      </c>
      <c r="E684" s="21">
        <f>9.568-0.003-0.27-0.488-0.84-0.068-0.584-0.042-0.072-0.144-0.1-1.244-0.208-0.084-0.2-0.2-0.8</f>
        <v>4.2210000000000019</v>
      </c>
    </row>
    <row r="685" spans="1:5" ht="14.25" x14ac:dyDescent="0.2">
      <c r="A685" s="36" t="s">
        <v>647</v>
      </c>
      <c r="B685" s="1" t="s">
        <v>74</v>
      </c>
      <c r="C685" s="1" t="s">
        <v>189</v>
      </c>
      <c r="D685" s="16" t="s">
        <v>299</v>
      </c>
      <c r="E685" s="21">
        <f>1.455</f>
        <v>1.4550000000000001</v>
      </c>
    </row>
    <row r="686" spans="1:5" ht="14.25" x14ac:dyDescent="0.2">
      <c r="A686" s="36" t="s">
        <v>647</v>
      </c>
      <c r="B686" s="1" t="s">
        <v>74</v>
      </c>
      <c r="C686" s="1" t="s">
        <v>189</v>
      </c>
      <c r="D686" s="16" t="s">
        <v>300</v>
      </c>
      <c r="E686" s="21">
        <f>2.49-0.762-1.308-0.054-0.025</f>
        <v>0.34100000000000014</v>
      </c>
    </row>
    <row r="687" spans="1:5" ht="14.25" x14ac:dyDescent="0.2">
      <c r="A687" s="36" t="s">
        <v>647</v>
      </c>
      <c r="B687" s="1" t="s">
        <v>74</v>
      </c>
      <c r="C687" s="1" t="s">
        <v>189</v>
      </c>
      <c r="D687" s="16" t="s">
        <v>193</v>
      </c>
      <c r="E687" s="21">
        <f>2.484-1.16-0.466-0.526-0.172</f>
        <v>0.16000000000000009</v>
      </c>
    </row>
    <row r="688" spans="1:5" ht="14.25" x14ac:dyDescent="0.2">
      <c r="A688" s="36" t="s">
        <v>647</v>
      </c>
      <c r="B688" s="1" t="s">
        <v>74</v>
      </c>
      <c r="C688" s="1" t="s">
        <v>189</v>
      </c>
      <c r="D688" s="16" t="s">
        <v>346</v>
      </c>
      <c r="E688" s="21">
        <f>6.69-0.12-0.248-0.746-0.3-0.076-0.035</f>
        <v>5.1650000000000009</v>
      </c>
    </row>
    <row r="689" spans="1:5" ht="14.25" x14ac:dyDescent="0.2">
      <c r="A689" s="36" t="s">
        <v>647</v>
      </c>
      <c r="B689" s="1" t="s">
        <v>74</v>
      </c>
      <c r="C689" s="1" t="s">
        <v>189</v>
      </c>
      <c r="D689" s="16" t="s">
        <v>192</v>
      </c>
      <c r="E689" s="21">
        <f>3.456</f>
        <v>3.456</v>
      </c>
    </row>
    <row r="690" spans="1:5" ht="14.25" x14ac:dyDescent="0.2">
      <c r="A690" s="36" t="s">
        <v>647</v>
      </c>
      <c r="B690" s="1" t="s">
        <v>74</v>
      </c>
      <c r="C690" s="1" t="s">
        <v>189</v>
      </c>
      <c r="D690" s="16" t="s">
        <v>549</v>
      </c>
      <c r="E690" s="21">
        <f>2.542</f>
        <v>2.5419999999999998</v>
      </c>
    </row>
    <row r="691" spans="1:5" ht="14.25" x14ac:dyDescent="0.2">
      <c r="A691" s="36" t="s">
        <v>647</v>
      </c>
      <c r="B691" s="1" t="s">
        <v>74</v>
      </c>
      <c r="C691" s="1" t="s">
        <v>189</v>
      </c>
      <c r="D691" s="16" t="s">
        <v>326</v>
      </c>
      <c r="E691" s="21">
        <f>3.252-0.634-0.702-0.194-0.062-0.274</f>
        <v>1.3859999999999999</v>
      </c>
    </row>
    <row r="692" spans="1:5" ht="14.25" x14ac:dyDescent="0.2">
      <c r="A692" s="36" t="s">
        <v>647</v>
      </c>
      <c r="B692" s="1" t="s">
        <v>74</v>
      </c>
      <c r="C692" s="1" t="s">
        <v>189</v>
      </c>
      <c r="D692" s="16" t="s">
        <v>326</v>
      </c>
      <c r="E692" s="21">
        <f>2.33</f>
        <v>2.33</v>
      </c>
    </row>
    <row r="693" spans="1:5" ht="14.25" x14ac:dyDescent="0.2">
      <c r="A693" s="36" t="s">
        <v>647</v>
      </c>
      <c r="B693" s="1" t="s">
        <v>74</v>
      </c>
      <c r="C693" s="1" t="s">
        <v>189</v>
      </c>
      <c r="D693" s="16" t="s">
        <v>326</v>
      </c>
      <c r="E693" s="21">
        <f>2.618</f>
        <v>2.6179999999999999</v>
      </c>
    </row>
    <row r="694" spans="1:5" ht="14.25" x14ac:dyDescent="0.2">
      <c r="A694" s="36" t="s">
        <v>647</v>
      </c>
      <c r="B694" s="1" t="s">
        <v>74</v>
      </c>
      <c r="C694" s="1" t="s">
        <v>189</v>
      </c>
      <c r="D694" s="16" t="s">
        <v>213</v>
      </c>
      <c r="E694" s="21">
        <f>2.96</f>
        <v>2.96</v>
      </c>
    </row>
    <row r="695" spans="1:5" ht="14.25" x14ac:dyDescent="0.2">
      <c r="A695" s="36" t="s">
        <v>647</v>
      </c>
      <c r="B695" s="1" t="s">
        <v>74</v>
      </c>
      <c r="C695" s="1" t="s">
        <v>189</v>
      </c>
      <c r="D695" s="16" t="s">
        <v>283</v>
      </c>
      <c r="E695" s="21">
        <f>0.896-0.792-0.02</f>
        <v>8.3999999999999977E-2</v>
      </c>
    </row>
    <row r="696" spans="1:5" ht="14.25" x14ac:dyDescent="0.2">
      <c r="A696" s="36" t="s">
        <v>647</v>
      </c>
      <c r="B696" s="1" t="s">
        <v>74</v>
      </c>
      <c r="C696" s="1" t="s">
        <v>189</v>
      </c>
      <c r="D696" s="16" t="s">
        <v>283</v>
      </c>
      <c r="E696" s="21">
        <f>0.92-0.815-0.02</f>
        <v>8.5000000000000089E-2</v>
      </c>
    </row>
    <row r="697" spans="1:5" ht="14.25" x14ac:dyDescent="0.2">
      <c r="A697" s="36" t="s">
        <v>647</v>
      </c>
      <c r="B697" s="1" t="s">
        <v>74</v>
      </c>
      <c r="C697" s="1" t="s">
        <v>342</v>
      </c>
      <c r="D697" s="16" t="s">
        <v>195</v>
      </c>
      <c r="E697" s="21">
        <f>1.842-0.244</f>
        <v>1.5980000000000001</v>
      </c>
    </row>
    <row r="698" spans="1:5" ht="14.25" x14ac:dyDescent="0.2">
      <c r="A698" s="36" t="s">
        <v>647</v>
      </c>
      <c r="B698" s="1" t="s">
        <v>74</v>
      </c>
      <c r="C698" s="1" t="s">
        <v>342</v>
      </c>
      <c r="D698" s="16" t="s">
        <v>195</v>
      </c>
      <c r="E698" s="21">
        <f>1.746</f>
        <v>1.746</v>
      </c>
    </row>
    <row r="699" spans="1:5" ht="14.25" x14ac:dyDescent="0.2">
      <c r="A699" s="36" t="s">
        <v>647</v>
      </c>
      <c r="B699" s="1" t="s">
        <v>74</v>
      </c>
      <c r="C699" s="1" t="s">
        <v>342</v>
      </c>
      <c r="D699" s="16" t="s">
        <v>196</v>
      </c>
      <c r="E699" s="21">
        <f>2.546-0.63-0.05-0.52</f>
        <v>1.3459999999999999</v>
      </c>
    </row>
    <row r="700" spans="1:5" ht="14.25" x14ac:dyDescent="0.2">
      <c r="A700" s="36" t="s">
        <v>647</v>
      </c>
      <c r="B700" s="1" t="s">
        <v>74</v>
      </c>
      <c r="C700" s="1" t="s">
        <v>342</v>
      </c>
      <c r="D700" s="16" t="s">
        <v>196</v>
      </c>
      <c r="E700" s="21">
        <f>2.42-0.006</f>
        <v>2.4140000000000001</v>
      </c>
    </row>
    <row r="701" spans="1:5" ht="14.25" x14ac:dyDescent="0.2">
      <c r="A701" s="36" t="s">
        <v>647</v>
      </c>
      <c r="B701" s="1" t="s">
        <v>74</v>
      </c>
      <c r="C701" s="1" t="s">
        <v>189</v>
      </c>
      <c r="D701" s="16" t="s">
        <v>327</v>
      </c>
      <c r="E701" s="21">
        <f>3.168-1.574-0.01-1.124</f>
        <v>0.45999999999999996</v>
      </c>
    </row>
    <row r="702" spans="1:5" ht="14.25" x14ac:dyDescent="0.2">
      <c r="A702" s="36" t="s">
        <v>647</v>
      </c>
      <c r="B702" s="1" t="s">
        <v>248</v>
      </c>
      <c r="C702" s="16" t="s">
        <v>138</v>
      </c>
      <c r="D702" s="16">
        <v>15</v>
      </c>
      <c r="E702" s="20">
        <f>0.4-0.28-0.015</f>
        <v>0.105</v>
      </c>
    </row>
    <row r="703" spans="1:5" ht="14.25" x14ac:dyDescent="0.2">
      <c r="A703" s="36" t="s">
        <v>647</v>
      </c>
      <c r="B703" s="1" t="s">
        <v>248</v>
      </c>
      <c r="C703" s="16" t="s">
        <v>138</v>
      </c>
      <c r="D703" s="16">
        <v>40</v>
      </c>
      <c r="E703" s="20">
        <f>0.112</f>
        <v>0.112</v>
      </c>
    </row>
    <row r="704" spans="1:5" ht="14.25" x14ac:dyDescent="0.2">
      <c r="A704" s="36" t="s">
        <v>647</v>
      </c>
      <c r="B704" s="16" t="s">
        <v>87</v>
      </c>
      <c r="C704" s="16" t="s">
        <v>129</v>
      </c>
      <c r="D704" s="16" t="s">
        <v>135</v>
      </c>
      <c r="E704" s="20">
        <f>0.61-0.41-0.015</f>
        <v>0.185</v>
      </c>
    </row>
    <row r="705" spans="1:5" ht="14.25" x14ac:dyDescent="0.2">
      <c r="A705" s="36" t="s">
        <v>647</v>
      </c>
      <c r="B705" s="16" t="s">
        <v>87</v>
      </c>
      <c r="C705" s="16" t="s">
        <v>129</v>
      </c>
      <c r="D705" s="16" t="s">
        <v>133</v>
      </c>
      <c r="E705" s="20">
        <f>0.05+0.06-0.07</f>
        <v>3.9999999999999994E-2</v>
      </c>
    </row>
    <row r="706" spans="1:5" ht="14.25" x14ac:dyDescent="0.2">
      <c r="A706" s="36" t="s">
        <v>647</v>
      </c>
      <c r="B706" s="16" t="s">
        <v>87</v>
      </c>
      <c r="C706" s="16" t="s">
        <v>129</v>
      </c>
      <c r="D706" s="16" t="s">
        <v>134</v>
      </c>
      <c r="E706" s="20">
        <f>0.06-0.015</f>
        <v>4.4999999999999998E-2</v>
      </c>
    </row>
    <row r="707" spans="1:5" ht="14.25" x14ac:dyDescent="0.2">
      <c r="A707" s="36" t="s">
        <v>647</v>
      </c>
      <c r="B707" s="16" t="s">
        <v>87</v>
      </c>
      <c r="C707" s="16" t="s">
        <v>129</v>
      </c>
      <c r="D707" s="16" t="s">
        <v>139</v>
      </c>
      <c r="E707" s="20">
        <v>0.1</v>
      </c>
    </row>
    <row r="708" spans="1:5" ht="14.25" x14ac:dyDescent="0.2">
      <c r="A708" s="36" t="s">
        <v>647</v>
      </c>
      <c r="B708" s="16" t="s">
        <v>87</v>
      </c>
      <c r="C708" s="16" t="s">
        <v>155</v>
      </c>
      <c r="D708" s="16">
        <v>35</v>
      </c>
      <c r="E708" s="20">
        <f>0.2-0.029-0.029</f>
        <v>0.14200000000000002</v>
      </c>
    </row>
    <row r="709" spans="1:5" ht="14.25" x14ac:dyDescent="0.2">
      <c r="A709" s="36" t="s">
        <v>647</v>
      </c>
      <c r="B709" s="16" t="s">
        <v>87</v>
      </c>
      <c r="C709" s="16" t="s">
        <v>648</v>
      </c>
      <c r="D709" s="16">
        <v>120</v>
      </c>
      <c r="E709" s="20">
        <f>0.405-0.264</f>
        <v>0.14100000000000001</v>
      </c>
    </row>
    <row r="710" spans="1:5" ht="14.25" x14ac:dyDescent="0.2">
      <c r="A710" s="36" t="s">
        <v>647</v>
      </c>
      <c r="B710" s="16" t="s">
        <v>126</v>
      </c>
      <c r="C710" s="16" t="s">
        <v>129</v>
      </c>
      <c r="D710" s="16" t="s">
        <v>147</v>
      </c>
      <c r="E710" s="20">
        <v>0.09</v>
      </c>
    </row>
    <row r="711" spans="1:5" ht="14.25" x14ac:dyDescent="0.2">
      <c r="A711" s="36" t="s">
        <v>647</v>
      </c>
      <c r="B711" s="16" t="s">
        <v>126</v>
      </c>
      <c r="C711" s="16" t="s">
        <v>129</v>
      </c>
      <c r="D711" s="16" t="s">
        <v>148</v>
      </c>
      <c r="E711" s="20">
        <v>0.11</v>
      </c>
    </row>
    <row r="712" spans="1:5" ht="14.25" x14ac:dyDescent="0.2">
      <c r="A712" s="36" t="s">
        <v>647</v>
      </c>
      <c r="B712" s="16" t="s">
        <v>126</v>
      </c>
      <c r="C712" s="16" t="s">
        <v>129</v>
      </c>
      <c r="D712" s="16" t="s">
        <v>149</v>
      </c>
      <c r="E712" s="20">
        <v>0.129</v>
      </c>
    </row>
    <row r="713" spans="1:5" ht="14.25" x14ac:dyDescent="0.2">
      <c r="A713" s="36" t="s">
        <v>647</v>
      </c>
      <c r="B713" s="16" t="s">
        <v>126</v>
      </c>
      <c r="C713" s="16" t="s">
        <v>129</v>
      </c>
      <c r="D713" s="16" t="s">
        <v>134</v>
      </c>
      <c r="E713" s="20">
        <v>0.05</v>
      </c>
    </row>
    <row r="714" spans="1:5" ht="14.25" x14ac:dyDescent="0.2">
      <c r="A714" s="36" t="s">
        <v>647</v>
      </c>
      <c r="B714" s="16" t="s">
        <v>126</v>
      </c>
      <c r="C714" s="16" t="s">
        <v>129</v>
      </c>
      <c r="D714" s="16" t="s">
        <v>136</v>
      </c>
      <c r="E714" s="20">
        <f>0.15-0.05-0.049</f>
        <v>5.099999999999999E-2</v>
      </c>
    </row>
    <row r="715" spans="1:5" ht="14.25" x14ac:dyDescent="0.2">
      <c r="A715" s="36" t="s">
        <v>647</v>
      </c>
      <c r="B715" s="6" t="s">
        <v>66</v>
      </c>
      <c r="C715" s="16" t="s">
        <v>129</v>
      </c>
      <c r="D715" s="16" t="s">
        <v>130</v>
      </c>
      <c r="E715" s="20">
        <f>0.17-0.015-0.02-0.01-0.03-0.015-0.05</f>
        <v>3.0000000000000027E-2</v>
      </c>
    </row>
    <row r="716" spans="1:5" ht="14.25" x14ac:dyDescent="0.2">
      <c r="A716" s="36" t="s">
        <v>647</v>
      </c>
      <c r="B716" s="6" t="s">
        <v>66</v>
      </c>
      <c r="C716" s="16" t="s">
        <v>129</v>
      </c>
      <c r="D716" s="16" t="s">
        <v>175</v>
      </c>
      <c r="E716" s="20">
        <v>0.05</v>
      </c>
    </row>
    <row r="717" spans="1:5" ht="14.25" x14ac:dyDescent="0.2">
      <c r="A717" s="36" t="s">
        <v>647</v>
      </c>
      <c r="B717" s="6" t="s">
        <v>66</v>
      </c>
      <c r="C717" s="16" t="s">
        <v>129</v>
      </c>
      <c r="D717" s="16" t="s">
        <v>133</v>
      </c>
      <c r="E717" s="20">
        <f>0.15-0.05-0.02-0.015</f>
        <v>6.4999999999999988E-2</v>
      </c>
    </row>
    <row r="718" spans="1:5" ht="14.25" x14ac:dyDescent="0.2">
      <c r="A718" s="36" t="s">
        <v>647</v>
      </c>
      <c r="B718" s="6" t="s">
        <v>66</v>
      </c>
      <c r="C718" s="16" t="s">
        <v>129</v>
      </c>
      <c r="D718" s="16" t="s">
        <v>131</v>
      </c>
      <c r="E718" s="20">
        <f>0.05-0.026</f>
        <v>2.4000000000000004E-2</v>
      </c>
    </row>
    <row r="719" spans="1:5" ht="14.25" x14ac:dyDescent="0.2">
      <c r="A719" s="36" t="s">
        <v>647</v>
      </c>
      <c r="B719" s="6" t="s">
        <v>66</v>
      </c>
      <c r="C719" s="16" t="s">
        <v>129</v>
      </c>
      <c r="D719" s="16" t="s">
        <v>150</v>
      </c>
      <c r="E719" s="20">
        <f>0.15-0.05-0.035</f>
        <v>6.4999999999999988E-2</v>
      </c>
    </row>
    <row r="720" spans="1:5" ht="14.25" x14ac:dyDescent="0.2">
      <c r="A720" s="36" t="s">
        <v>647</v>
      </c>
      <c r="B720" s="6" t="s">
        <v>66</v>
      </c>
      <c r="C720" s="16" t="s">
        <v>129</v>
      </c>
      <c r="D720" s="16" t="s">
        <v>150</v>
      </c>
      <c r="E720" s="20">
        <v>0.14000000000000001</v>
      </c>
    </row>
    <row r="721" spans="1:5" ht="14.25" x14ac:dyDescent="0.2">
      <c r="A721" s="36" t="s">
        <v>647</v>
      </c>
      <c r="B721" s="6" t="s">
        <v>66</v>
      </c>
      <c r="C721" s="16" t="s">
        <v>129</v>
      </c>
      <c r="D721" s="16" t="s">
        <v>132</v>
      </c>
      <c r="E721" s="20">
        <f>0.24-0.069-0.15</f>
        <v>2.0999999999999991E-2</v>
      </c>
    </row>
    <row r="722" spans="1:5" ht="14.25" x14ac:dyDescent="0.2">
      <c r="A722" s="36" t="s">
        <v>647</v>
      </c>
      <c r="B722" s="6" t="s">
        <v>66</v>
      </c>
      <c r="C722" s="16" t="s">
        <v>128</v>
      </c>
      <c r="D722" s="16">
        <v>30</v>
      </c>
      <c r="E722" s="20">
        <v>6.4000000000000001E-2</v>
      </c>
    </row>
    <row r="723" spans="1:5" ht="14.25" x14ac:dyDescent="0.2">
      <c r="A723" s="36" t="s">
        <v>647</v>
      </c>
      <c r="B723" s="6" t="s">
        <v>66</v>
      </c>
      <c r="C723" s="16" t="s">
        <v>269</v>
      </c>
      <c r="D723" s="16" t="s">
        <v>268</v>
      </c>
      <c r="E723" s="20">
        <v>5.2999999999999999E-2</v>
      </c>
    </row>
    <row r="724" spans="1:5" ht="14.25" x14ac:dyDescent="0.2">
      <c r="A724" s="36" t="s">
        <v>647</v>
      </c>
      <c r="B724" s="6" t="s">
        <v>127</v>
      </c>
      <c r="C724" s="6" t="s">
        <v>128</v>
      </c>
      <c r="D724" s="16">
        <v>65</v>
      </c>
      <c r="E724" s="20">
        <f>0.146-0.104+0.006</f>
        <v>4.7999999999999994E-2</v>
      </c>
    </row>
    <row r="725" spans="1:5" ht="14.25" x14ac:dyDescent="0.2">
      <c r="A725" s="36" t="s">
        <v>647</v>
      </c>
      <c r="B725" s="6" t="s">
        <v>127</v>
      </c>
      <c r="C725" s="6" t="s">
        <v>128</v>
      </c>
      <c r="D725" s="16">
        <v>170</v>
      </c>
      <c r="E725" s="21">
        <f>0.56-0.032</f>
        <v>0.52800000000000002</v>
      </c>
    </row>
    <row r="726" spans="1:5" ht="14.25" x14ac:dyDescent="0.2">
      <c r="A726" s="36" t="s">
        <v>647</v>
      </c>
      <c r="B726" s="6" t="s">
        <v>234</v>
      </c>
      <c r="C726" s="6" t="s">
        <v>649</v>
      </c>
      <c r="D726" s="16">
        <v>8</v>
      </c>
      <c r="E726" s="21">
        <v>6.7000000000000002E-3</v>
      </c>
    </row>
    <row r="727" spans="1:5" ht="14.25" x14ac:dyDescent="0.2">
      <c r="A727" s="36" t="s">
        <v>647</v>
      </c>
      <c r="B727" s="6" t="s">
        <v>234</v>
      </c>
      <c r="C727" s="6" t="s">
        <v>128</v>
      </c>
      <c r="D727" s="16">
        <v>60</v>
      </c>
      <c r="E727" s="21">
        <f>0.264-0.084-0.089</f>
        <v>9.0999999999999998E-2</v>
      </c>
    </row>
    <row r="728" spans="1:5" ht="14.25" x14ac:dyDescent="0.2">
      <c r="A728" s="36" t="s">
        <v>647</v>
      </c>
      <c r="B728" s="6" t="s">
        <v>234</v>
      </c>
      <c r="C728" s="6" t="s">
        <v>128</v>
      </c>
      <c r="D728" s="16">
        <v>100</v>
      </c>
      <c r="E728" s="21">
        <f>0.362-0.015-0.175-0.016</f>
        <v>0.15599999999999997</v>
      </c>
    </row>
    <row r="729" spans="1:5" ht="14.25" x14ac:dyDescent="0.2">
      <c r="A729" s="36" t="s">
        <v>647</v>
      </c>
      <c r="B729" s="5" t="s">
        <v>273</v>
      </c>
      <c r="C729" s="16" t="s">
        <v>200</v>
      </c>
      <c r="D729" s="9">
        <v>100</v>
      </c>
      <c r="E729" s="24">
        <f>0.756-0.346-0.001-0.112-0.205</f>
        <v>9.2000000000000054E-2</v>
      </c>
    </row>
    <row r="730" spans="1:5" ht="14.25" x14ac:dyDescent="0.2">
      <c r="A730" s="36" t="s">
        <v>647</v>
      </c>
      <c r="B730" s="5" t="s">
        <v>273</v>
      </c>
      <c r="C730" s="16" t="s">
        <v>200</v>
      </c>
      <c r="D730" s="9">
        <v>120</v>
      </c>
      <c r="E730" s="24">
        <f>0.246+0.26+0.318-0.246-0.26</f>
        <v>0.31800000000000006</v>
      </c>
    </row>
    <row r="731" spans="1:5" ht="14.25" x14ac:dyDescent="0.2">
      <c r="A731" s="36" t="s">
        <v>647</v>
      </c>
      <c r="B731" s="5" t="s">
        <v>273</v>
      </c>
      <c r="C731" s="16" t="s">
        <v>200</v>
      </c>
      <c r="D731" s="9">
        <v>180</v>
      </c>
      <c r="E731" s="24">
        <f>0.948-0.004-0.292</f>
        <v>0.65199999999999991</v>
      </c>
    </row>
    <row r="732" spans="1:5" ht="14.25" x14ac:dyDescent="0.2">
      <c r="A732" s="36" t="s">
        <v>647</v>
      </c>
      <c r="B732" s="5" t="s">
        <v>273</v>
      </c>
      <c r="C732" s="16" t="s">
        <v>176</v>
      </c>
      <c r="D732" s="9">
        <v>280</v>
      </c>
      <c r="E732" s="24">
        <f>2.522-0.816-0.736</f>
        <v>0.97</v>
      </c>
    </row>
    <row r="733" spans="1:5" ht="14.25" x14ac:dyDescent="0.2">
      <c r="A733" s="36" t="s">
        <v>647</v>
      </c>
      <c r="B733" s="5" t="s">
        <v>273</v>
      </c>
      <c r="C733" s="16" t="s">
        <v>262</v>
      </c>
      <c r="D733" s="9">
        <v>380</v>
      </c>
      <c r="E733" s="24">
        <f>3.09-1.794-0.763</f>
        <v>0.53299999999999981</v>
      </c>
    </row>
    <row r="734" spans="1:5" ht="14.25" x14ac:dyDescent="0.2">
      <c r="A734" s="36" t="s">
        <v>647</v>
      </c>
      <c r="B734" s="6" t="s">
        <v>18</v>
      </c>
      <c r="C734" s="6" t="s">
        <v>232</v>
      </c>
      <c r="D734" s="16">
        <v>290</v>
      </c>
      <c r="E734" s="21">
        <f>1.505</f>
        <v>1.5049999999999999</v>
      </c>
    </row>
    <row r="735" spans="1:5" ht="14.25" x14ac:dyDescent="0.2">
      <c r="A735" s="36" t="s">
        <v>647</v>
      </c>
      <c r="B735" s="5" t="s">
        <v>28</v>
      </c>
      <c r="C735" s="13" t="s">
        <v>143</v>
      </c>
      <c r="D735" s="9">
        <v>16</v>
      </c>
      <c r="E735" s="22">
        <f>0.2-0.018</f>
        <v>0.18200000000000002</v>
      </c>
    </row>
    <row r="736" spans="1:5" ht="14.25" x14ac:dyDescent="0.2">
      <c r="A736" s="36" t="s">
        <v>647</v>
      </c>
      <c r="B736" s="5" t="s">
        <v>28</v>
      </c>
      <c r="C736" s="13" t="s">
        <v>143</v>
      </c>
      <c r="D736" s="9">
        <v>25</v>
      </c>
      <c r="E736" s="22">
        <f>0.492-0.203-0.248</f>
        <v>4.0999999999999981E-2</v>
      </c>
    </row>
    <row r="737" spans="1:5" ht="14.25" x14ac:dyDescent="0.2">
      <c r="A737" s="36" t="s">
        <v>647</v>
      </c>
      <c r="B737" s="5" t="s">
        <v>142</v>
      </c>
      <c r="C737" s="13" t="s">
        <v>143</v>
      </c>
      <c r="D737" s="9">
        <v>85</v>
      </c>
      <c r="E737" s="22">
        <f>1.55-1.095-0.05-0.014</f>
        <v>0.39100000000000007</v>
      </c>
    </row>
    <row r="738" spans="1:5" ht="14.25" x14ac:dyDescent="0.2">
      <c r="A738" s="36" t="s">
        <v>647</v>
      </c>
      <c r="B738" s="5" t="s">
        <v>218</v>
      </c>
      <c r="C738" s="13" t="s">
        <v>650</v>
      </c>
      <c r="D738" s="9">
        <v>120</v>
      </c>
      <c r="E738" s="22">
        <f>0.1</f>
        <v>0.1</v>
      </c>
    </row>
    <row r="739" spans="1:5" ht="14.25" x14ac:dyDescent="0.2">
      <c r="A739" s="36" t="s">
        <v>647</v>
      </c>
      <c r="B739" s="5" t="s">
        <v>29</v>
      </c>
      <c r="C739" s="13" t="s">
        <v>228</v>
      </c>
      <c r="D739" s="9">
        <v>40</v>
      </c>
      <c r="E739" s="22">
        <f>0.06-0.016-0.002</f>
        <v>4.1999999999999996E-2</v>
      </c>
    </row>
    <row r="740" spans="1:5" ht="14.25" x14ac:dyDescent="0.2">
      <c r="A740" s="36" t="s">
        <v>647</v>
      </c>
      <c r="B740" s="5" t="s">
        <v>29</v>
      </c>
      <c r="C740" s="13" t="s">
        <v>228</v>
      </c>
      <c r="D740" s="9">
        <v>65</v>
      </c>
      <c r="E740" s="22">
        <f>6.574</f>
        <v>6.5739999999999998</v>
      </c>
    </row>
    <row r="741" spans="1:5" ht="14.25" x14ac:dyDescent="0.2">
      <c r="A741" s="36" t="s">
        <v>647</v>
      </c>
      <c r="B741" s="5" t="s">
        <v>29</v>
      </c>
      <c r="C741" s="13" t="s">
        <v>228</v>
      </c>
      <c r="D741" s="9">
        <v>70</v>
      </c>
      <c r="E741" s="22">
        <f>0.182-0.015+0.001</f>
        <v>0.16799999999999998</v>
      </c>
    </row>
    <row r="742" spans="1:5" ht="14.25" x14ac:dyDescent="0.2">
      <c r="A742" s="36" t="s">
        <v>647</v>
      </c>
      <c r="B742" s="5" t="s">
        <v>29</v>
      </c>
      <c r="C742" s="13" t="s">
        <v>228</v>
      </c>
      <c r="D742" s="9">
        <v>190</v>
      </c>
      <c r="E742" s="22">
        <f>0.534-0.374</f>
        <v>0.16000000000000003</v>
      </c>
    </row>
    <row r="743" spans="1:5" ht="14.25" x14ac:dyDescent="0.2">
      <c r="A743" s="36" t="s">
        <v>647</v>
      </c>
      <c r="B743" s="5" t="s">
        <v>29</v>
      </c>
      <c r="C743" s="13" t="s">
        <v>228</v>
      </c>
      <c r="D743" s="9">
        <v>200</v>
      </c>
      <c r="E743" s="22">
        <f>0.8-0.418+0.002</f>
        <v>0.38400000000000006</v>
      </c>
    </row>
    <row r="744" spans="1:5" ht="14.25" x14ac:dyDescent="0.2">
      <c r="A744" s="36" t="s">
        <v>647</v>
      </c>
      <c r="B744" s="2" t="s">
        <v>217</v>
      </c>
      <c r="C744" s="13" t="s">
        <v>301</v>
      </c>
      <c r="D744" s="9">
        <v>36</v>
      </c>
      <c r="E744" s="24">
        <f>0.048</f>
        <v>4.8000000000000001E-2</v>
      </c>
    </row>
    <row r="745" spans="1:5" ht="14.25" x14ac:dyDescent="0.2">
      <c r="A745" s="36" t="s">
        <v>647</v>
      </c>
      <c r="B745" s="2" t="s">
        <v>217</v>
      </c>
      <c r="C745" s="13" t="s">
        <v>143</v>
      </c>
      <c r="D745" s="9">
        <v>290</v>
      </c>
      <c r="E745" s="24">
        <f>1.615-0.518-0.166</f>
        <v>0.93099999999999994</v>
      </c>
    </row>
    <row r="746" spans="1:5" ht="14.25" x14ac:dyDescent="0.2">
      <c r="A746" s="36" t="s">
        <v>647</v>
      </c>
      <c r="B746" s="2" t="s">
        <v>217</v>
      </c>
      <c r="C746" s="13" t="s">
        <v>143</v>
      </c>
      <c r="D746" s="9">
        <v>300</v>
      </c>
      <c r="E746" s="24">
        <f>1.359-0.56</f>
        <v>0.79899999999999993</v>
      </c>
    </row>
    <row r="747" spans="1:5" ht="15" thickBot="1" x14ac:dyDescent="0.25">
      <c r="A747" s="37" t="s">
        <v>647</v>
      </c>
      <c r="B747" s="38" t="s">
        <v>217</v>
      </c>
      <c r="C747" s="38" t="s">
        <v>231</v>
      </c>
      <c r="D747" s="39">
        <v>380</v>
      </c>
      <c r="E747" s="40">
        <f>0.928-0.272</f>
        <v>0.65600000000000003</v>
      </c>
    </row>
  </sheetData>
  <mergeCells count="7">
    <mergeCell ref="A2:E2"/>
    <mergeCell ref="A6:C6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2020-10-14T02:14:42Z</cp:lastPrinted>
  <dcterms:created xsi:type="dcterms:W3CDTF">2010-04-30T05:40:59Z</dcterms:created>
  <dcterms:modified xsi:type="dcterms:W3CDTF">2021-03-23T09:23:05Z</dcterms:modified>
</cp:coreProperties>
</file>