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820B0C89-970E-BF45-AF90-AABA3F50D41B}" xr6:coauthVersionLast="47" xr6:coauthVersionMax="47" xr10:uidLastSave="{00000000-0000-0000-0000-000000000000}"/>
  <bookViews>
    <workbookView xWindow="39720" yWindow="220" windowWidth="15240" windowHeight="11260" tabRatio="599"/>
  </bookViews>
  <sheets>
    <sheet name="24.11.2025" sheetId="3" r:id="rId1"/>
  </sheets>
  <definedNames>
    <definedName name="_xlnm._FilterDatabase" localSheetId="0" hidden="1">'24.11.2025'!$D$1:$D$1035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5" i="3" l="1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991" i="3"/>
  <c r="E992" i="3"/>
  <c r="E993" i="3"/>
  <c r="E994" i="3"/>
  <c r="E995" i="3"/>
  <c r="E996" i="3"/>
  <c r="E997" i="3"/>
  <c r="E998" i="3"/>
  <c r="E989" i="3"/>
  <c r="E990" i="3"/>
  <c r="E988" i="3"/>
  <c r="E987" i="3"/>
  <c r="E986" i="3"/>
  <c r="E985" i="3"/>
  <c r="E984" i="3"/>
  <c r="E983" i="3"/>
  <c r="E982" i="3"/>
  <c r="E981" i="3"/>
  <c r="E979" i="3"/>
  <c r="E978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06" i="3"/>
  <c r="E907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<sst xmlns="http://schemas.openxmlformats.org/spreadsheetml/2006/main" count="6292" uniqueCount="1039">
  <si>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</si>
  <si>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</si>
  <si>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</si>
  <si>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</si>
  <si>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</si>
  <si>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</si>
  <si>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</si>
  <si>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</si>
  <si>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</si>
  <si>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</si>
  <si>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</si>
  <si>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</si>
  <si>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</si>
  <si>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</si>
  <si>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</si>
  <si>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</si>
  <si>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</si>
  <si>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</si>
  <si>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Р18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</si>
  <si>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</si>
  <si>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</si>
  <si>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</si>
  <si>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</si>
  <si>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</si>
  <si>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</si>
  <si>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</si>
  <si>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</si>
  <si>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</si>
  <si>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</si>
  <si>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</si>
  <si>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</si>
  <si>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</si>
  <si>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</si>
  <si>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</si>
  <si>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</si>
  <si>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</si>
  <si>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</si>
  <si>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</si>
  <si>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</si>
  <si>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</si>
  <si>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</si>
  <si>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</si>
  <si>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</si>
  <si>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</si>
  <si>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Ст3сп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</si>
  <si>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</si>
  <si>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</si>
  <si>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</si>
  <si>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</si>
  <si>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</si>
  <si>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</si>
  <si>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</si>
  <si>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</si>
  <si>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</si>
  <si>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</si>
  <si>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</si>
  <si>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</si>
  <si>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</si>
  <si>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</si>
  <si>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</si>
  <si>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</si>
  <si>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</si>
  <si>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</si>
  <si>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</si>
  <si>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</si>
  <si>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</si>
  <si>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</si>
  <si>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</si>
  <si>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</si>
  <si>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</si>
  <si>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</si>
  <si>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Склад  на 24.11.2025</t>
  </si>
  <si>
    <t>ГОСТ 14959-2016, ГОСТ 2283-79, С-НО</t>
  </si>
  <si>
    <t>0,5х450х2000</t>
  </si>
  <si>
    <t>ГОСТ 14959-2016, ГОСТ 2283-79, С</t>
  </si>
  <si>
    <t>0,7х450х2000</t>
  </si>
  <si>
    <t>ГОСТ 14959-2016, ГОСТ 2283-79</t>
  </si>
  <si>
    <t>0,8х450х2000</t>
  </si>
  <si>
    <t xml:space="preserve">1х450х2000    </t>
  </si>
  <si>
    <t>ГОСТ 14959-2016 / ТУ 14-1-4118-2004 / ГОСТ 19904-90</t>
  </si>
  <si>
    <t xml:space="preserve">1х1200х2000    </t>
  </si>
  <si>
    <t>1,2х450х2000</t>
  </si>
  <si>
    <t>1,5х450х2000</t>
  </si>
  <si>
    <t xml:space="preserve">1,5х1200х2000    </t>
  </si>
  <si>
    <t>ГОСТ 14959-79, ГОСТ 2283-79</t>
  </si>
  <si>
    <t>1,6х450х2000</t>
  </si>
  <si>
    <t>2х450х2000</t>
  </si>
  <si>
    <t xml:space="preserve">2,0х1200х2000    </t>
  </si>
  <si>
    <t>2,5х450х2000</t>
  </si>
  <si>
    <t>3х450х2000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</si>
  <si>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</si>
  <si>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</si>
  <si>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</si>
  <si>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</si>
  <si>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</si>
  <si>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</si>
  <si>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</si>
  <si>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</si>
  <si>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</si>
  <si>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</si>
  <si>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</si>
  <si>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</si>
  <si>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</si>
  <si>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</si>
  <si>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</si>
  <si>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</si>
  <si>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</si>
  <si>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</si>
  <si>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</si>
  <si>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</si>
  <si>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</si>
  <si>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</si>
  <si>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</si>
  <si>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</si>
  <si>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</si>
  <si>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</si>
  <si>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</si>
  <si>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</si>
  <si>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</si>
  <si>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</si>
  <si>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ГОСТ 7566-2018, 11268-76, 19904-90</t>
  </si>
  <si>
    <t>1,5х1200х2000</t>
  </si>
  <si>
    <t>ГОСТ 4543-2016, 11268-76, 19904-90</t>
  </si>
  <si>
    <t>1,6х1200х2000</t>
  </si>
  <si>
    <t>ГОСТ 4543-2016, 11268-76, 19904-90, ПН, БД, БТ, БШ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</si>
  <si>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</si>
  <si>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</si>
  <si>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</si>
  <si>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</si>
  <si>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</si>
  <si>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</si>
  <si>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</si>
  <si>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</si>
  <si>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</si>
  <si>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</si>
  <si>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</si>
  <si>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</si>
  <si>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</si>
  <si>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</si>
  <si>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</si>
  <si>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</si>
  <si>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</si>
  <si>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</si>
  <si>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</si>
  <si>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</si>
  <si>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</si>
  <si>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</si>
  <si>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</si>
  <si>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ГОСТ 16523-97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</si>
  <si>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</si>
  <si>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</si>
  <si>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</si>
  <si>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</si>
  <si>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</si>
  <si>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</si>
  <si>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</si>
  <si>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</si>
  <si>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</si>
  <si>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</si>
  <si>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</si>
  <si>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</si>
  <si>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</si>
  <si>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</si>
  <si>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</si>
  <si>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</si>
  <si>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</si>
  <si>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</si>
  <si>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</si>
  <si>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</si>
  <si>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</si>
  <si>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</si>
  <si>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</si>
  <si>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</si>
  <si>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</si>
  <si>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</si>
  <si>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</si>
  <si>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30х1500х4750</t>
  </si>
  <si>
    <t>25х1500х3190</t>
  </si>
  <si>
    <t>ГОСТ 19903-2015, 1577-93</t>
  </si>
  <si>
    <t>20х1500х5400</t>
  </si>
  <si>
    <t>20х1500х6000</t>
  </si>
  <si>
    <t>20х1500х700</t>
  </si>
  <si>
    <t>16х1500х1410</t>
  </si>
  <si>
    <t>16х1500х1160</t>
  </si>
  <si>
    <t>16х1500х6000</t>
  </si>
  <si>
    <t>12х1500х6000</t>
  </si>
  <si>
    <t>12х1500х3620</t>
  </si>
  <si>
    <t>10х1500х1710</t>
  </si>
  <si>
    <t>10х1500х6000</t>
  </si>
  <si>
    <t>10х1250х2500</t>
  </si>
  <si>
    <t>8х1500х6000</t>
  </si>
  <si>
    <t>ГОСТ 19903-2015, 1577-22</t>
  </si>
  <si>
    <t>8х1500х760</t>
  </si>
  <si>
    <t>7х1250х2500</t>
  </si>
  <si>
    <t>ГОСТ 19903-2015, 1577-2022, отжиг</t>
  </si>
  <si>
    <t>6х1500х2700</t>
  </si>
  <si>
    <t>6х1500х6000</t>
  </si>
  <si>
    <t>6х1500х490</t>
  </si>
  <si>
    <t>6х1000х2000</t>
  </si>
  <si>
    <t>4х1500х1500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</si>
  <si>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</si>
  <si>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</si>
  <si>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</si>
  <si>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</si>
  <si>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</si>
  <si>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</si>
  <si>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</si>
  <si>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</si>
  <si>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</si>
  <si>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</si>
  <si>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30х1500х4380</t>
  </si>
  <si>
    <t>20х1500х4580</t>
  </si>
  <si>
    <t>ТУ 14-1-1409-2018, 19903-2015, Б-ПН-О, отжиг</t>
  </si>
  <si>
    <t>18х1500х6000</t>
  </si>
  <si>
    <t>18х1500х4370</t>
  </si>
  <si>
    <t>16х1500х4000-6000</t>
  </si>
  <si>
    <t>16х1260х3000</t>
  </si>
  <si>
    <t>ГОСТ 14959-2016, ГОСТ 19903-2015</t>
  </si>
  <si>
    <t>14х1500х6000</t>
  </si>
  <si>
    <t>14х1500х2160</t>
  </si>
  <si>
    <t>14х1500х630</t>
  </si>
  <si>
    <t>ТУ 14-1-1409-2018, 19903-2015, Б-НО, отжиг</t>
  </si>
  <si>
    <t>12х1500х3420</t>
  </si>
  <si>
    <t>12х1500х460</t>
  </si>
  <si>
    <t>12х1260х1070</t>
  </si>
  <si>
    <t>8х1500х5000</t>
  </si>
  <si>
    <t>8х1260х3480</t>
  </si>
  <si>
    <t>7х1500х3000</t>
  </si>
  <si>
    <t>7х1500х990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</si>
  <si>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</si>
  <si>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</si>
  <si>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</si>
  <si>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</si>
  <si>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</si>
  <si>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5х1500х4500</t>
  </si>
  <si>
    <t>ТУ 14-1-1409-2018, 19903-2015</t>
  </si>
  <si>
    <t>5х1500х6000</t>
  </si>
  <si>
    <t>5х1260х2000</t>
  </si>
  <si>
    <t>4х1500х5700</t>
  </si>
  <si>
    <t>4х1000х2000</t>
  </si>
  <si>
    <t>2х1000х2000</t>
  </si>
  <si>
    <t>160х1500х290</t>
  </si>
  <si>
    <t>ГОСТ 19903-2015, ТУ 14-123-199-2012</t>
  </si>
  <si>
    <t>150х1000х2100</t>
  </si>
  <si>
    <t>ГОСТ 19903-2015, ТУ 14-123-199-2023</t>
  </si>
  <si>
    <t>150х240х1360</t>
  </si>
  <si>
    <t>ГОСТ 19903-2015</t>
  </si>
  <si>
    <t>140х1000х1410</t>
  </si>
  <si>
    <t>130х1000х240</t>
  </si>
  <si>
    <t>110х1500х630</t>
  </si>
  <si>
    <t>110х1500х3400</t>
  </si>
  <si>
    <t>100х1500х1120</t>
  </si>
  <si>
    <t>ГОСТ 19903-2015, ТУ 14-1-4148-2014</t>
  </si>
  <si>
    <t>100х1500х3700</t>
  </si>
  <si>
    <t>90х1000х2310</t>
  </si>
  <si>
    <t>ГОСТ 19903-2015, ТУ 14-1-4148-2014, НО</t>
  </si>
  <si>
    <t>85х1500х3510</t>
  </si>
  <si>
    <t>80х1500х1260</t>
  </si>
  <si>
    <t>ГОСТ 19903-2015, ТУ 14-123-199-2023, НО</t>
  </si>
  <si>
    <t>80х1500х340</t>
  </si>
  <si>
    <t>75х1500х1040</t>
  </si>
  <si>
    <t>70х1500х1420</t>
  </si>
  <si>
    <t>70х1500х2000</t>
  </si>
  <si>
    <t>70х1200х510</t>
  </si>
  <si>
    <t>70х1200х420</t>
  </si>
  <si>
    <t>65х1500х5900</t>
  </si>
  <si>
    <t>65х1500х530</t>
  </si>
  <si>
    <t>65х1500х4600</t>
  </si>
  <si>
    <t>60х1500х3030</t>
  </si>
  <si>
    <t>ГОСТ 11269-76, 19903-2015</t>
  </si>
  <si>
    <t>60х1500х1930</t>
  </si>
  <si>
    <t>50х1500х6000</t>
  </si>
  <si>
    <t>ГОСТ 11269-76, 19903-2015, с РТ-Техприемкой</t>
  </si>
  <si>
    <t>50х1500х4200</t>
  </si>
  <si>
    <t>50х1500х490</t>
  </si>
  <si>
    <t>50х1500х570</t>
  </si>
  <si>
    <t>40х1500х2580</t>
  </si>
  <si>
    <t>40х1500х390</t>
  </si>
  <si>
    <t>36х400х2000</t>
  </si>
  <si>
    <t>36х1500х1000</t>
  </si>
  <si>
    <t>36х1500х280</t>
  </si>
  <si>
    <t>34х1500х6000</t>
  </si>
  <si>
    <t>30х1500х6000</t>
  </si>
  <si>
    <t>30х1500х1980</t>
  </si>
  <si>
    <t>30х1500х160</t>
  </si>
  <si>
    <t>30х1500х320</t>
  </si>
  <si>
    <t>28х1500х3270</t>
  </si>
  <si>
    <t>22х1500х2450</t>
  </si>
  <si>
    <t>20х1500х5000</t>
  </si>
  <si>
    <t xml:space="preserve">ГОСТ 11269-76, 19903-2015                    </t>
  </si>
  <si>
    <t>20х1500х480</t>
  </si>
  <si>
    <t>ГОСТ 11269-76, 19903-2015,                    РТ-Техприемка</t>
  </si>
  <si>
    <t>20х1500х800</t>
  </si>
  <si>
    <t>20х1500х440</t>
  </si>
  <si>
    <t>18х1500х560</t>
  </si>
  <si>
    <t>18х1500х2440</t>
  </si>
  <si>
    <t>ГОСТ 11269-76, 19903-2015,                 РТ-Техприемка</t>
  </si>
  <si>
    <t>18х1500х2460</t>
  </si>
  <si>
    <t>18х1500х2340</t>
  </si>
  <si>
    <t>16х1500х2410</t>
  </si>
  <si>
    <t>16х1500х2000</t>
  </si>
  <si>
    <t>16х1500х2280</t>
  </si>
  <si>
    <t>15х1500х2820</t>
  </si>
  <si>
    <t>ГОСТ 11269-76, 19903-2015,                   РТ-Техприемка</t>
  </si>
  <si>
    <t>14х2000х2000</t>
  </si>
  <si>
    <t>14х1500х940</t>
  </si>
  <si>
    <t>ГОСТ 11269-76, 19903-2015,  РТ-Техприемка</t>
  </si>
  <si>
    <t>12х1500х5760</t>
  </si>
  <si>
    <t>ГОСТ 11269-76, отжиг, 19903-2015,   Б, ПН-НО, РТ-Техприемка</t>
  </si>
  <si>
    <t>10х1500х820</t>
  </si>
  <si>
    <t>10х1500х730</t>
  </si>
  <si>
    <t>ГОСТ 11269-76, отжиг, травл., 19903-2015, Б, ПН-НО, РТ-Техприемка</t>
  </si>
  <si>
    <t>10х1500х500</t>
  </si>
  <si>
    <t>10х1500х270</t>
  </si>
  <si>
    <t>8х1500х3680</t>
  </si>
  <si>
    <t>8х1500х1610</t>
  </si>
  <si>
    <t xml:space="preserve">ГОСТ 11269-76, 19903-2015, отжиг, Б, НО-ПН, </t>
  </si>
  <si>
    <t>8х1500х2140</t>
  </si>
  <si>
    <t>ГОСТ 11269-76, 19903-2015, отжиг, Б, НО-ПН, РТ-Техприемка</t>
  </si>
  <si>
    <t>7х1500х610</t>
  </si>
  <si>
    <t>6х1500х620</t>
  </si>
  <si>
    <t>6х1500х580</t>
  </si>
  <si>
    <t>6х1500х720</t>
  </si>
  <si>
    <t>ГОСТ 11269-76, 19903-2015, отжиг, Б, НО, РТ-Техприемка</t>
  </si>
  <si>
    <t>5х1500х3000</t>
  </si>
  <si>
    <t>5х1500х2000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</si>
  <si>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</si>
  <si>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</si>
  <si>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</si>
  <si>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</si>
  <si>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</si>
  <si>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</si>
  <si>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</si>
  <si>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</si>
  <si>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</si>
  <si>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</si>
  <si>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</si>
  <si>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</si>
  <si>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12х1500х3010</t>
  </si>
  <si>
    <t>14х1500х6200</t>
  </si>
  <si>
    <t>14х1500х2230</t>
  </si>
  <si>
    <t>ГОСТ 1577-93, 19903-2015</t>
  </si>
  <si>
    <t>16х1500х520</t>
  </si>
  <si>
    <t>16х1500х640</t>
  </si>
  <si>
    <t>16х1500х4800</t>
  </si>
  <si>
    <t>16х2000х6000</t>
  </si>
  <si>
    <t>20х1500х5650</t>
  </si>
  <si>
    <t>ГОСТ 1577-22, 19903-74</t>
  </si>
  <si>
    <t>25х1500х6000</t>
  </si>
  <si>
    <t>25х1500х3010</t>
  </si>
  <si>
    <t>30х1500х310</t>
  </si>
  <si>
    <t>30х1500х390</t>
  </si>
  <si>
    <t>ГОСТ 1577-22, 19903-2015</t>
  </si>
  <si>
    <t>30х1500х430</t>
  </si>
  <si>
    <t>30х1500х1950</t>
  </si>
  <si>
    <t>36х1500х5540</t>
  </si>
  <si>
    <t>40х1500х180</t>
  </si>
  <si>
    <t>40х660х180</t>
  </si>
  <si>
    <t>ГОСТ 1577-2022, 19903-2015</t>
  </si>
  <si>
    <t>40х1500х660</t>
  </si>
  <si>
    <t>40х1500х1090</t>
  </si>
  <si>
    <t>45х1500х460</t>
  </si>
  <si>
    <t>45х1500х3880</t>
  </si>
  <si>
    <t>45х880х170</t>
  </si>
  <si>
    <t>45х1500х6000</t>
  </si>
  <si>
    <t>50х940х110</t>
  </si>
  <si>
    <t>50х280х410</t>
  </si>
  <si>
    <t>50х1500х900</t>
  </si>
  <si>
    <t>50х1500х310</t>
  </si>
  <si>
    <t>60х1380х200</t>
  </si>
  <si>
    <t>60х610х420</t>
  </si>
  <si>
    <t>60х1000х190</t>
  </si>
  <si>
    <t>60х1500х1590</t>
  </si>
  <si>
    <t>60х600х310</t>
  </si>
  <si>
    <t>70х1200х3660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</si>
  <si>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</si>
  <si>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00х6000</t>
    </r>
  </si>
  <si>
    <t>80х720х170</t>
  </si>
  <si>
    <t>80х1500х290</t>
  </si>
  <si>
    <t>80х1500х6000</t>
  </si>
  <si>
    <t>90х1000х840</t>
  </si>
  <si>
    <t>ТУ 14-123-199-2012, 19903-2015</t>
  </si>
  <si>
    <t>90х1500х260</t>
  </si>
  <si>
    <t>90х1500х2550</t>
  </si>
  <si>
    <t>90х1500х6000</t>
  </si>
  <si>
    <t xml:space="preserve">ГОСТ 4543-2016, ГОСТ 19903-2015,         ТУ 14-123-199-2012 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</si>
  <si>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</si>
  <si>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</si>
  <si>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</si>
  <si>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</si>
  <si>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100х1500х1410</t>
  </si>
  <si>
    <t>100х1500х6000</t>
  </si>
  <si>
    <t>100х1500х5000</t>
  </si>
  <si>
    <t>110х1500х6000</t>
  </si>
  <si>
    <r>
      <t>110х1500х</t>
    </r>
    <r>
      <rPr>
        <b/>
        <sz val="11"/>
        <rFont val="Times New Roman"/>
        <family val="1"/>
        <charset val="204"/>
      </rPr>
      <t>5550</t>
    </r>
  </si>
  <si>
    <t>110х720х460</t>
  </si>
  <si>
    <t>120х1500х6000</t>
  </si>
  <si>
    <t>120х1500х3430</t>
  </si>
  <si>
    <t>140х1500х1710</t>
  </si>
  <si>
    <t>140х1500х5700</t>
  </si>
  <si>
    <t>150х1500х5000</t>
  </si>
  <si>
    <t>160х1500х1080</t>
  </si>
  <si>
    <t>160х1500х1200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</si>
  <si>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</si>
  <si>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</si>
  <si>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</si>
  <si>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</si>
  <si>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</si>
  <si>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</si>
  <si>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</si>
  <si>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</si>
  <si>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10х1500х1200</t>
  </si>
  <si>
    <t>10х1500х4000</t>
  </si>
  <si>
    <t>30х1500х220</t>
  </si>
  <si>
    <t>60х1500х410</t>
  </si>
  <si>
    <t>80х500х200</t>
  </si>
  <si>
    <t>90х410х520</t>
  </si>
  <si>
    <t>125х2000х500</t>
  </si>
  <si>
    <t xml:space="preserve">ГОСТ 16523-97, 19903-2015, </t>
  </si>
  <si>
    <t>ГОСТ 19903-2015, 16523-97</t>
  </si>
  <si>
    <t>4х1500х3250</t>
  </si>
  <si>
    <t>5х1000х2000</t>
  </si>
  <si>
    <t>5х1500х1980</t>
  </si>
  <si>
    <t>5х1500х2990</t>
  </si>
  <si>
    <t>6х1250х2500</t>
  </si>
  <si>
    <t>7х1500х2460</t>
  </si>
  <si>
    <t>8х1000х2000</t>
  </si>
  <si>
    <t>10х1000х2000</t>
  </si>
  <si>
    <t>10х1500х980</t>
  </si>
  <si>
    <t>10х1500х4300</t>
  </si>
  <si>
    <t>12х1500х2890</t>
  </si>
  <si>
    <t>12х1500х230</t>
  </si>
  <si>
    <t>12х1500х2000</t>
  </si>
  <si>
    <t>14х1500х1660</t>
  </si>
  <si>
    <t>14х1500х5500</t>
  </si>
  <si>
    <t>14х1500х3000</t>
  </si>
  <si>
    <t>ГОСТ 19903-2015, 1577-2022, с РТ-Техприемкой</t>
  </si>
  <si>
    <t>15х1500х6000</t>
  </si>
  <si>
    <t>15х1500х5300</t>
  </si>
  <si>
    <t>16х1400х6000</t>
  </si>
  <si>
    <t>16х1500х3580</t>
  </si>
  <si>
    <t>16х1600х6200</t>
  </si>
  <si>
    <t>16х2000х1760</t>
  </si>
  <si>
    <t>16х2000х4990</t>
  </si>
  <si>
    <t>18х1500х640</t>
  </si>
  <si>
    <t>18х1500х2690</t>
  </si>
  <si>
    <t>18х1500х3000</t>
  </si>
  <si>
    <t>20х1500х850</t>
  </si>
  <si>
    <t>22х1500х1790</t>
  </si>
  <si>
    <t>22х1500х6000</t>
  </si>
  <si>
    <t>25х1500х230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</si>
  <si>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</si>
  <si>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</si>
  <si>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</si>
  <si>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</si>
  <si>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</si>
  <si>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</si>
  <si>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30х1500х2650</t>
  </si>
  <si>
    <t>30х1500х1800</t>
  </si>
  <si>
    <t>30х1500х3000</t>
  </si>
  <si>
    <t>30х1500х2400</t>
  </si>
  <si>
    <t>32х1500х2730</t>
  </si>
  <si>
    <t>36х1500х740</t>
  </si>
  <si>
    <t>36х1500х6000</t>
  </si>
  <si>
    <t>40х1500х230</t>
  </si>
  <si>
    <t>40х1500х980</t>
  </si>
  <si>
    <t>40х1500х2900</t>
  </si>
  <si>
    <t>40х1500х6000</t>
  </si>
  <si>
    <t>40х2000х430</t>
  </si>
  <si>
    <t>45х1500х560</t>
  </si>
  <si>
    <t>45х1500х5680</t>
  </si>
  <si>
    <t>45х2000х1920</t>
  </si>
  <si>
    <t>50х1500х540</t>
  </si>
  <si>
    <t>50х1500х270</t>
  </si>
  <si>
    <t>50х1500х1000</t>
  </si>
  <si>
    <t>55х1500х600</t>
  </si>
  <si>
    <t>55х1500х1780</t>
  </si>
  <si>
    <t>55х1500х6000</t>
  </si>
  <si>
    <t>60х190х790</t>
  </si>
  <si>
    <t>60х210х390</t>
  </si>
  <si>
    <t>60х580х330</t>
  </si>
  <si>
    <t>60х1500х600</t>
  </si>
  <si>
    <t>60х250х330</t>
  </si>
  <si>
    <t>60х240х320</t>
  </si>
  <si>
    <t>60х260х320</t>
  </si>
  <si>
    <t>60х1500х670</t>
  </si>
  <si>
    <t>60х1500х2340</t>
  </si>
  <si>
    <r>
      <t>60х1500х</t>
    </r>
    <r>
      <rPr>
        <b/>
        <sz val="11"/>
        <rFont val="Times New Roman"/>
        <family val="1"/>
        <charset val="204"/>
      </rPr>
      <t>3000</t>
    </r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</si>
  <si>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</si>
  <si>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</si>
  <si>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</si>
  <si>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</si>
  <si>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70х1200х1480</t>
  </si>
  <si>
    <t>70х1500х680</t>
  </si>
  <si>
    <t>70х1500х220</t>
  </si>
  <si>
    <t>70х1500х1020</t>
  </si>
  <si>
    <t>70х550х2000</t>
  </si>
  <si>
    <t>70х1500х6000</t>
  </si>
  <si>
    <t>70х1500х4530</t>
  </si>
  <si>
    <t>75х2000х4000</t>
  </si>
  <si>
    <t>80х1500х3040</t>
  </si>
  <si>
    <t>90х1500х4100</t>
  </si>
  <si>
    <t>90х1500х710</t>
  </si>
  <si>
    <t>100х1500х470</t>
  </si>
  <si>
    <r>
      <t>100х550х</t>
    </r>
    <r>
      <rPr>
        <b/>
        <sz val="11"/>
        <rFont val="Times New Roman"/>
        <family val="1"/>
        <charset val="204"/>
      </rPr>
      <t>2000</t>
    </r>
  </si>
  <si>
    <t>100х1500х1190</t>
  </si>
  <si>
    <t>100х1500х3030</t>
  </si>
  <si>
    <t>ГОСТ 1577-93, 19903-2015, 1050-2013</t>
  </si>
  <si>
    <t>110х1500х600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</si>
  <si>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</si>
  <si>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</si>
  <si>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</si>
  <si>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</si>
  <si>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</si>
  <si>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</si>
  <si>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</si>
  <si>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</si>
  <si>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</si>
  <si>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</si>
  <si>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</si>
  <si>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</si>
  <si>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</si>
  <si>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</si>
  <si>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50х1500х840</t>
  </si>
  <si>
    <t>50х1500х3030</t>
  </si>
  <si>
    <t>80х1500х520</t>
  </si>
  <si>
    <t>6х1500х960</t>
  </si>
  <si>
    <t>8х1500х1370</t>
  </si>
  <si>
    <t>8х1500х2440</t>
  </si>
  <si>
    <t>8х1500х3000</t>
  </si>
  <si>
    <t>10х1500х1450</t>
  </si>
  <si>
    <t>10х1500х860</t>
  </si>
  <si>
    <t>10х1500х3000</t>
  </si>
  <si>
    <t>12х1500х5500</t>
  </si>
  <si>
    <t>12х1500х1920</t>
  </si>
  <si>
    <t>12х1500х370</t>
  </si>
  <si>
    <t>ГОСТ 1577-2022, 19903-2015, с РТ-Техприемкой</t>
  </si>
  <si>
    <r>
      <t>12х1500х</t>
    </r>
    <r>
      <rPr>
        <b/>
        <sz val="11"/>
        <rFont val="Times New Roman"/>
        <family val="1"/>
        <charset val="204"/>
      </rPr>
      <t>3000</t>
    </r>
  </si>
  <si>
    <t>14х1500х1430</t>
  </si>
  <si>
    <t>14х1500х4000</t>
  </si>
  <si>
    <t>14х2000х6000</t>
  </si>
  <si>
    <r>
      <t>15х2000х</t>
    </r>
    <r>
      <rPr>
        <b/>
        <sz val="11"/>
        <rFont val="Times New Roman"/>
        <family val="1"/>
        <charset val="204"/>
      </rPr>
      <t>4760</t>
    </r>
  </si>
  <si>
    <r>
      <t>16х1500х</t>
    </r>
    <r>
      <rPr>
        <b/>
        <sz val="11"/>
        <rFont val="Times New Roman"/>
        <family val="1"/>
        <charset val="204"/>
      </rPr>
      <t>3000</t>
    </r>
  </si>
  <si>
    <t>16х1500х550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</si>
  <si>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</si>
  <si>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</si>
  <si>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</si>
  <si>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</si>
  <si>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</si>
  <si>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</si>
  <si>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</si>
  <si>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</si>
  <si>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20х1500х670</t>
  </si>
  <si>
    <t>20х1500х450</t>
  </si>
  <si>
    <t>20х1500х420</t>
  </si>
  <si>
    <r>
      <t>20х1500х</t>
    </r>
    <r>
      <rPr>
        <b/>
        <sz val="11"/>
        <rFont val="Times New Roman"/>
        <family val="1"/>
        <charset val="204"/>
      </rPr>
      <t>2600</t>
    </r>
  </si>
  <si>
    <t>20х1500х360</t>
  </si>
  <si>
    <t>25х1500х190</t>
  </si>
  <si>
    <t>25х1500х2270</t>
  </si>
  <si>
    <t>25х1500х940</t>
  </si>
  <si>
    <t>30х490х400</t>
  </si>
  <si>
    <r>
      <t>30х1500х</t>
    </r>
    <r>
      <rPr>
        <b/>
        <sz val="11"/>
        <rFont val="Times New Roman"/>
        <family val="1"/>
        <charset val="204"/>
      </rPr>
      <t>3340</t>
    </r>
  </si>
  <si>
    <t>30х1500х1640</t>
  </si>
  <si>
    <t>36х1500х210</t>
  </si>
  <si>
    <t>36х1500х330</t>
  </si>
  <si>
    <t>36х1500х5770</t>
  </si>
  <si>
    <t>40х490х400</t>
  </si>
  <si>
    <t>45х1500х350</t>
  </si>
  <si>
    <t>45х1500х860</t>
  </si>
  <si>
    <t>45х1500х530</t>
  </si>
  <si>
    <t>45х1500х900</t>
  </si>
  <si>
    <t>45х1500х3000</t>
  </si>
  <si>
    <r>
      <t>45х1500х</t>
    </r>
    <r>
      <rPr>
        <b/>
        <sz val="11"/>
        <rFont val="Times New Roman"/>
        <family val="1"/>
        <charset val="204"/>
      </rPr>
      <t>3000</t>
    </r>
  </si>
  <si>
    <t>50х1500х1270</t>
  </si>
  <si>
    <t>50х510х400</t>
  </si>
  <si>
    <t>50х1500х470</t>
  </si>
  <si>
    <t>50х1500х1490</t>
  </si>
  <si>
    <t>50х1500х530</t>
  </si>
  <si>
    <t>60х230х370</t>
  </si>
  <si>
    <r>
      <t>60х1500х</t>
    </r>
    <r>
      <rPr>
        <b/>
        <sz val="11"/>
        <rFont val="Times New Roman"/>
        <family val="1"/>
        <charset val="204"/>
      </rPr>
      <t>470</t>
    </r>
  </si>
  <si>
    <t>60х1500х6000</t>
  </si>
  <si>
    <t>70х1200х3510</t>
  </si>
  <si>
    <t>70х1200х4300</t>
  </si>
  <si>
    <t>70х1500х980</t>
  </si>
  <si>
    <t>80х1200х560</t>
  </si>
  <si>
    <t>80х1200х3020</t>
  </si>
  <si>
    <t>80х1200х1850</t>
  </si>
  <si>
    <t>80х1200х970</t>
  </si>
  <si>
    <t>80х1200х1600</t>
  </si>
  <si>
    <t>80х1500х380</t>
  </si>
  <si>
    <t>80х1500х2890</t>
  </si>
  <si>
    <t>ГОСТ 1577-93, 19903-2022</t>
  </si>
  <si>
    <t>90х1500х3500</t>
  </si>
  <si>
    <t>90х1500х450</t>
  </si>
  <si>
    <t>90х1500х1480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</si>
  <si>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</si>
  <si>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</si>
  <si>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</si>
  <si>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</si>
  <si>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</si>
  <si>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</si>
  <si>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</si>
  <si>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</si>
  <si>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130х1500х6000</t>
  </si>
  <si>
    <t>140х70х1030</t>
  </si>
  <si>
    <r>
      <t>140х1500х</t>
    </r>
    <r>
      <rPr>
        <b/>
        <sz val="11"/>
        <rFont val="Times New Roman"/>
        <family val="1"/>
        <charset val="204"/>
      </rPr>
      <t>2160</t>
    </r>
  </si>
  <si>
    <t>140х1500х2400</t>
  </si>
  <si>
    <t>150х1500х870</t>
  </si>
  <si>
    <t>150х630х580</t>
  </si>
  <si>
    <t>150х1500х5300</t>
  </si>
  <si>
    <t>160х900х1190</t>
  </si>
  <si>
    <t>160х1500х3680</t>
  </si>
  <si>
    <t>160х1500х4500</t>
  </si>
  <si>
    <t>ГОСТ 1577-93, 19903-74, отжиг, Б-ПН-НО</t>
  </si>
  <si>
    <t>6,0х1250х2500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</si>
  <si>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</si>
  <si>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</si>
  <si>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</si>
  <si>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</si>
  <si>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</si>
  <si>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</si>
  <si>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100х700-800х1580</t>
  </si>
  <si>
    <t>90х700-800х2450</t>
  </si>
  <si>
    <t>90х700-800х2700-3200</t>
  </si>
  <si>
    <t>80х700-800х3000-3500</t>
  </si>
  <si>
    <t>80х700-800х360</t>
  </si>
  <si>
    <r>
      <t>70х800-900х</t>
    </r>
    <r>
      <rPr>
        <b/>
        <sz val="11"/>
        <rFont val="Times New Roman"/>
        <family val="1"/>
        <charset val="204"/>
      </rPr>
      <t>1810</t>
    </r>
  </si>
  <si>
    <t>70х800-900х3200-3700</t>
  </si>
  <si>
    <t>70х800-900х500</t>
  </si>
  <si>
    <r>
      <t>70х110х</t>
    </r>
    <r>
      <rPr>
        <b/>
        <sz val="11"/>
        <rFont val="Times New Roman"/>
        <family val="1"/>
        <charset val="204"/>
      </rPr>
      <t>610</t>
    </r>
  </si>
  <si>
    <t>60х1000-1100х2800-3300</t>
  </si>
  <si>
    <t>60х1000-1100х760</t>
  </si>
  <si>
    <t>60х1000-1100х1540</t>
  </si>
  <si>
    <t>50х1000-1100х3500-4000</t>
  </si>
  <si>
    <r>
      <t>50х1000-1100х</t>
    </r>
    <r>
      <rPr>
        <b/>
        <sz val="11"/>
        <rFont val="Times New Roman"/>
        <family val="1"/>
        <charset val="204"/>
      </rPr>
      <t>660</t>
    </r>
  </si>
  <si>
    <t>50х1000-1100х1550</t>
  </si>
  <si>
    <t>50х1000-1100х250</t>
  </si>
  <si>
    <t>50х1000-1100х210</t>
  </si>
  <si>
    <t>40х1200-1300х1500-2000</t>
  </si>
  <si>
    <t>40х1200-1300х1290</t>
  </si>
  <si>
    <t>40х1200-1300х690</t>
  </si>
  <si>
    <t>40х1200-1300х3500-4000</t>
  </si>
  <si>
    <t>40х1200-1300х660</t>
  </si>
  <si>
    <t>40х1200-1300х390</t>
  </si>
  <si>
    <t>40х1200-1300х720</t>
  </si>
  <si>
    <t>35х1200-1300х4000-4500</t>
  </si>
  <si>
    <t>30х1500х1710</t>
  </si>
  <si>
    <t>30х1500х680</t>
  </si>
  <si>
    <t>30х1500х620</t>
  </si>
  <si>
    <t>30х1500х3060</t>
  </si>
  <si>
    <t>25х1500х5000-6000</t>
  </si>
  <si>
    <t>25х1500х2940</t>
  </si>
  <si>
    <t>22х1500х2560</t>
  </si>
  <si>
    <r>
      <t>20х1500х</t>
    </r>
    <r>
      <rPr>
        <b/>
        <sz val="11"/>
        <rFont val="Times New Roman"/>
        <family val="1"/>
        <charset val="204"/>
      </rPr>
      <t>910</t>
    </r>
  </si>
  <si>
    <t>20х1500х5800-5950</t>
  </si>
  <si>
    <t>20х1500х3240</t>
  </si>
  <si>
    <t>18х1500х5740</t>
  </si>
  <si>
    <t>16х1500х440</t>
  </si>
  <si>
    <r>
      <t>16х1500х</t>
    </r>
    <r>
      <rPr>
        <b/>
        <sz val="11"/>
        <rFont val="Times New Roman"/>
        <family val="1"/>
        <charset val="204"/>
      </rPr>
      <t>590</t>
    </r>
  </si>
  <si>
    <t>14х1500х5880</t>
  </si>
  <si>
    <t>12х1500х2130</t>
  </si>
  <si>
    <t>12х1500х250</t>
  </si>
  <si>
    <t>10х1500х2360</t>
  </si>
  <si>
    <t>10х1500х1270</t>
  </si>
  <si>
    <t>8х1500х3360</t>
  </si>
  <si>
    <t>8х1500х2330</t>
  </si>
  <si>
    <t>8х1500х830</t>
  </si>
  <si>
    <t>8х1500х980</t>
  </si>
  <si>
    <t>8х1500х1260</t>
  </si>
  <si>
    <t>8х1500х970</t>
  </si>
  <si>
    <t>8х1500х960</t>
  </si>
  <si>
    <t>8х1500х440</t>
  </si>
  <si>
    <t>6х1500х-5000-6000</t>
  </si>
  <si>
    <t>6х1500х1980</t>
  </si>
  <si>
    <t>5х1500х2980</t>
  </si>
  <si>
    <t>5х1500х5500-6000</t>
  </si>
  <si>
    <t>5х1500х980</t>
  </si>
  <si>
    <t>5х1500х470</t>
  </si>
  <si>
    <t>4х950х2000</t>
  </si>
  <si>
    <t>ТУ 14-132-240-2021, ГОСТ 19903-2015 отжиг</t>
  </si>
  <si>
    <t>ТУ 14-132-240-2011, ГОСТ 19903-2015 отжиг</t>
  </si>
  <si>
    <t>6х1450х5900</t>
  </si>
  <si>
    <t>6х1500х800</t>
  </si>
  <si>
    <t>6х1500х2000-3000</t>
  </si>
  <si>
    <t>ГОСТ 1435-99, 4405-75</t>
  </si>
  <si>
    <t>8х610</t>
  </si>
  <si>
    <t>8х1500х1540</t>
  </si>
  <si>
    <t>10х610</t>
  </si>
  <si>
    <t>ТУ 14-132-240-2011</t>
  </si>
  <si>
    <t>10х1500х2000</t>
  </si>
  <si>
    <t>10х1500х2120</t>
  </si>
  <si>
    <t>12х610</t>
  </si>
  <si>
    <t>16х610</t>
  </si>
  <si>
    <t>16х1500х4960</t>
  </si>
  <si>
    <t>20х530</t>
  </si>
  <si>
    <t>20х1500х3860</t>
  </si>
  <si>
    <r>
      <t>20х1500х</t>
    </r>
    <r>
      <rPr>
        <b/>
        <sz val="11"/>
        <rFont val="Times New Roman"/>
        <family val="1"/>
        <charset val="204"/>
      </rPr>
      <t>2000</t>
    </r>
  </si>
  <si>
    <t>25х510</t>
  </si>
  <si>
    <t>30х1500х3640</t>
  </si>
  <si>
    <t>40х1200-1300х2980</t>
  </si>
  <si>
    <t>50х1000-1100х1890</t>
  </si>
  <si>
    <t>60х1000-1100х1190</t>
  </si>
  <si>
    <t>70х610</t>
  </si>
  <si>
    <t>80х610</t>
  </si>
  <si>
    <t>90х610</t>
  </si>
  <si>
    <t>90х700-800х1420</t>
  </si>
  <si>
    <t>100х610</t>
  </si>
  <si>
    <t>120х610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</si>
  <si>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</si>
  <si>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</si>
  <si>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</si>
  <si>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</si>
  <si>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</si>
  <si>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</si>
  <si>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</si>
  <si>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</si>
  <si>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</si>
  <si>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100х700-800х2030</t>
  </si>
  <si>
    <t>100х410х120</t>
  </si>
  <si>
    <t>Протокол 132-146-2019</t>
  </si>
  <si>
    <t>90х810</t>
  </si>
  <si>
    <t>90х700-800х1640</t>
  </si>
  <si>
    <t>90х700-800х400</t>
  </si>
  <si>
    <t>Протокол 132-15-2022</t>
  </si>
  <si>
    <t>80х700-800х380</t>
  </si>
  <si>
    <t>80х700-800х1300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</si>
  <si>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</si>
  <si>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</si>
  <si>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</si>
  <si>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</si>
  <si>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</si>
  <si>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70х800-900х870</t>
  </si>
  <si>
    <t>70х800-900х860</t>
  </si>
  <si>
    <t>ГОСТ 5950-2000, ГОСТ 4405-75 (кованые)</t>
  </si>
  <si>
    <t>65х1000-1100х2800-3300</t>
  </si>
  <si>
    <t>60х1000-1100х1290</t>
  </si>
  <si>
    <t>60х1000-1100х220</t>
  </si>
  <si>
    <t>60х1000-1100х670</t>
  </si>
  <si>
    <t>60х1000-1100х1480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</si>
  <si>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</si>
  <si>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</si>
  <si>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</si>
  <si>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</si>
  <si>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</si>
  <si>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</si>
  <si>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</si>
  <si>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</si>
  <si>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</si>
  <si>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</si>
  <si>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</si>
  <si>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 xml:space="preserve">50х400  </t>
  </si>
  <si>
    <r>
      <t>45х1200-1300х</t>
    </r>
    <r>
      <rPr>
        <b/>
        <sz val="11"/>
        <rFont val="Times New Roman"/>
        <family val="1"/>
        <charset val="204"/>
      </rPr>
      <t>200-1700</t>
    </r>
  </si>
  <si>
    <t>45х1200-1300х1680</t>
  </si>
  <si>
    <t>45х1200-1300х3500-5000</t>
  </si>
  <si>
    <r>
      <t>40х1200-1300х</t>
    </r>
    <r>
      <rPr>
        <b/>
        <sz val="11"/>
        <rFont val="Times New Roman"/>
        <family val="1"/>
        <charset val="204"/>
      </rPr>
      <t>400</t>
    </r>
  </si>
  <si>
    <t>40х1200-1300х2320</t>
  </si>
  <si>
    <t>40х1200-1300х950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</si>
  <si>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</si>
  <si>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</si>
  <si>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</si>
  <si>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</si>
  <si>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</si>
  <si>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</si>
  <si>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30х1500х1530</t>
  </si>
  <si>
    <t>30х1500х360</t>
  </si>
  <si>
    <t>30х1500х2500-3000</t>
  </si>
  <si>
    <t>30х1500х700</t>
  </si>
  <si>
    <t>30х1500х370</t>
  </si>
  <si>
    <t>30х1500х1070</t>
  </si>
  <si>
    <t>30х610</t>
  </si>
  <si>
    <t>25х1500х4390-5390</t>
  </si>
  <si>
    <t>25х1500х400</t>
  </si>
  <si>
    <t>22х1500х3750</t>
  </si>
  <si>
    <t>22х1500х3240</t>
  </si>
  <si>
    <t>22х1500х5800</t>
  </si>
  <si>
    <t>22х1500х995</t>
  </si>
  <si>
    <t>22х610</t>
  </si>
  <si>
    <t>20х1500х2980</t>
  </si>
  <si>
    <t>20х1500х880</t>
  </si>
  <si>
    <t>20х1500х5000-6000</t>
  </si>
  <si>
    <t>20х1500х790</t>
  </si>
  <si>
    <t>20х610</t>
  </si>
  <si>
    <t>16х1500х2990</t>
  </si>
  <si>
    <t>16х1500х750</t>
  </si>
  <si>
    <t>16х1500х580</t>
  </si>
  <si>
    <t>14х1500х2980</t>
  </si>
  <si>
    <t>14х1500х930</t>
  </si>
  <si>
    <t>14х1265х2500</t>
  </si>
  <si>
    <t>ГОСТ 5950-2000, ГОСТ 19903-2015</t>
  </si>
  <si>
    <t>12х1500х2990</t>
  </si>
  <si>
    <t>ТС 132-15-2022, ГОСТ 5950-2000</t>
  </si>
  <si>
    <t>12х1500х4460</t>
  </si>
  <si>
    <t>12х1500х430</t>
  </si>
  <si>
    <t>12х1500х1360</t>
  </si>
  <si>
    <t>12х1500х640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</si>
  <si>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</si>
  <si>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</si>
  <si>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</si>
  <si>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</si>
  <si>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</si>
  <si>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</si>
  <si>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</si>
  <si>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8х1500х1320</t>
  </si>
  <si>
    <t>8х1500х5100-6000</t>
  </si>
  <si>
    <t>8х1100х2200</t>
  </si>
  <si>
    <t>7,05х1100х2500</t>
  </si>
  <si>
    <t>6,05х1100х2200</t>
  </si>
  <si>
    <t>6х1500х2100</t>
  </si>
  <si>
    <t>ТС 132-15-2022, ГОСТ 19903-2015, Б, О, плоск. не более 16 мм/1 м</t>
  </si>
  <si>
    <t>5,05х1100х2200</t>
  </si>
  <si>
    <t>ТС 132-15-2022, ГОСТ 19903-2015</t>
  </si>
  <si>
    <t>5х1500х5400-5800</t>
  </si>
  <si>
    <t>5х1500х560</t>
  </si>
  <si>
    <t>5х1500х340</t>
  </si>
  <si>
    <t>ТС 132-15-2022, ГОСТ 19903-2015, Б, О, плоск. не более 20 мм/1 м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</si>
  <si>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</si>
  <si>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</si>
  <si>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</si>
  <si>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</si>
  <si>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</si>
  <si>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2,5х1100х2200</t>
  </si>
  <si>
    <t>ГОСТ 5950-2000, 19903-2015, ТС 132-273-2022, отжиг</t>
  </si>
  <si>
    <t>2х1000х1900-2000</t>
  </si>
  <si>
    <t>13х1500х4490</t>
  </si>
  <si>
    <t>ТУ 14-1-795-2004, 19903-2015</t>
  </si>
  <si>
    <t>120х510</t>
  </si>
  <si>
    <t>100х500х370</t>
  </si>
  <si>
    <t>Протокол 132-88-2018</t>
  </si>
  <si>
    <t>65х610</t>
  </si>
  <si>
    <t>60х1000-1100х700-1200</t>
  </si>
  <si>
    <t>ТС 132-110-2024</t>
  </si>
  <si>
    <t>60х85х1500</t>
  </si>
  <si>
    <t>55х1000-1100х550</t>
  </si>
  <si>
    <t>Протокол 132-257-2020</t>
  </si>
  <si>
    <t>55х610</t>
  </si>
  <si>
    <t>50х1000-1100х1200-1700</t>
  </si>
  <si>
    <t>45х610</t>
  </si>
  <si>
    <t>ГОСТ 5950-2000, ГОСТ 4405-75</t>
  </si>
  <si>
    <t>40х1200-1300х830</t>
  </si>
  <si>
    <t>30х1500х600-700</t>
  </si>
  <si>
    <t>30х1500х200</t>
  </si>
  <si>
    <t>30х1500х740</t>
  </si>
  <si>
    <t>25х1500х4140</t>
  </si>
  <si>
    <t>25х610</t>
  </si>
  <si>
    <t>22х1500х3960</t>
  </si>
  <si>
    <t>22х1500х5000-6000</t>
  </si>
  <si>
    <t>20х1500х3820</t>
  </si>
  <si>
    <t>20х1500х2070</t>
  </si>
  <si>
    <t>16х1500х3010</t>
  </si>
  <si>
    <t>16х1500х1040</t>
  </si>
  <si>
    <t>14х610</t>
  </si>
  <si>
    <t>12х1500х4230</t>
  </si>
  <si>
    <t>10х1500х3640</t>
  </si>
  <si>
    <t>10х1500х470</t>
  </si>
  <si>
    <t>8х1500х4500-5850</t>
  </si>
  <si>
    <t>8х1500х3570</t>
  </si>
  <si>
    <t>6х1500х2990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</si>
  <si>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</si>
  <si>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</si>
  <si>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</si>
  <si>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</si>
  <si>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</si>
  <si>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</si>
  <si>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</si>
  <si>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</si>
  <si>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</si>
  <si>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</si>
  <si>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</si>
  <si>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</si>
  <si>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</si>
  <si>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</si>
  <si>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</si>
  <si>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</si>
  <si>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</si>
  <si>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</si>
  <si>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2х1261х2000</t>
  </si>
  <si>
    <t>ГОСТ 5632-2014</t>
  </si>
  <si>
    <t>2х1255х2000</t>
  </si>
  <si>
    <t>2х1250х2000</t>
  </si>
  <si>
    <t>1,5х1254х2000</t>
  </si>
  <si>
    <t>1,2х1264х2500</t>
  </si>
  <si>
    <t>1х1256х2000</t>
  </si>
  <si>
    <t>1х1230х2000</t>
  </si>
  <si>
    <t>0,8х615х2500</t>
  </si>
  <si>
    <t>ГОСТ 5582-75</t>
  </si>
  <si>
    <t>ГОСТ 5632-72, 4405-75</t>
  </si>
  <si>
    <t>71х810</t>
  </si>
  <si>
    <t>ГОСТ 5632-2014, 4405-75</t>
  </si>
  <si>
    <t>42х610</t>
  </si>
  <si>
    <t>40х120</t>
  </si>
  <si>
    <t>30х200</t>
  </si>
  <si>
    <t>12х1240х2000</t>
  </si>
  <si>
    <t>12х300</t>
  </si>
  <si>
    <t>10х1266х1820</t>
  </si>
  <si>
    <t>10х1260х2000</t>
  </si>
  <si>
    <t>ГОСТ 5632-72, 19903-2015</t>
  </si>
  <si>
    <t>9х1266х1290</t>
  </si>
  <si>
    <t>8х1260х2000</t>
  </si>
  <si>
    <t>ГОСТ 5632-2014, 19903-2015</t>
  </si>
  <si>
    <t>6х1219х2500</t>
  </si>
  <si>
    <t>5х1250х2000</t>
  </si>
  <si>
    <t>4х1265х2000</t>
  </si>
  <si>
    <t>4х1260х2000</t>
  </si>
  <si>
    <t>3х1263х2000</t>
  </si>
  <si>
    <t>3х1250х2000</t>
  </si>
  <si>
    <t>ГОСТ 801-78, 2590-2006</t>
  </si>
  <si>
    <t>ГОСТ 801-78, ГОСТ 8479-70</t>
  </si>
  <si>
    <t>ГОСТ 801-2022, ГОСТ 103-2006</t>
  </si>
  <si>
    <t>8,0х610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</si>
  <si>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</si>
  <si>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</si>
  <si>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</si>
  <si>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</si>
  <si>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</si>
  <si>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</si>
  <si>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</si>
  <si>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</si>
  <si>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</si>
  <si>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</si>
  <si>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</si>
  <si>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</si>
  <si>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</si>
  <si>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 xml:space="preserve">60х360  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</si>
  <si>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</si>
  <si>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</si>
  <si>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</si>
  <si>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</si>
  <si>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</si>
  <si>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</si>
  <si>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</si>
  <si>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</si>
  <si>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</si>
  <si>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</si>
  <si>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</si>
  <si>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</si>
  <si>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</si>
  <si>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</si>
  <si>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</si>
  <si>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</si>
  <si>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</si>
  <si>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</si>
  <si>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</si>
  <si>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</si>
  <si>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</si>
  <si>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</si>
  <si>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</si>
  <si>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</si>
  <si>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</si>
  <si>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</si>
  <si>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</si>
  <si>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</si>
  <si>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</si>
  <si>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</si>
  <si>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</si>
  <si>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</si>
  <si>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</si>
  <si>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</si>
  <si>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</si>
  <si>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</si>
  <si>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</si>
  <si>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</si>
  <si>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</si>
  <si>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</si>
  <si>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</si>
  <si>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</si>
  <si>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</si>
  <si>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</si>
  <si>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</si>
  <si>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</si>
  <si>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</si>
  <si>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</si>
  <si>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</si>
  <si>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</si>
  <si>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</si>
  <si>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</si>
  <si>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</si>
  <si>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</si>
  <si>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</si>
  <si>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</si>
  <si>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</si>
  <si>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</si>
  <si>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</si>
  <si>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</si>
  <si>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</si>
  <si>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</si>
  <si>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</si>
  <si>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</si>
  <si>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3х810 х/к</t>
  </si>
  <si>
    <t>3,5х800 х/к</t>
  </si>
  <si>
    <t>3,5х810 х/к</t>
  </si>
  <si>
    <t>4х800</t>
  </si>
  <si>
    <t>4,5х800</t>
  </si>
  <si>
    <t xml:space="preserve">5х810 </t>
  </si>
  <si>
    <t>5,5х810</t>
  </si>
  <si>
    <t>6х810</t>
  </si>
  <si>
    <t>8х360</t>
  </si>
  <si>
    <t>30х50-53 (дл. 2135мм)</t>
  </si>
  <si>
    <t>36х610 (на конус 36-44х610х790)</t>
  </si>
  <si>
    <t>40х400</t>
  </si>
  <si>
    <t>45х605</t>
  </si>
  <si>
    <t>50х200</t>
  </si>
  <si>
    <t>80х300х310</t>
  </si>
  <si>
    <t>85х610</t>
  </si>
  <si>
    <t>90х240х370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</si>
  <si>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</si>
  <si>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</si>
  <si>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</si>
  <si>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</si>
  <si>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</si>
  <si>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</si>
  <si>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</si>
  <si>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</si>
  <si>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</si>
  <si>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</si>
  <si>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</si>
  <si>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</si>
  <si>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</si>
  <si>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сер. 6,4</t>
  </si>
  <si>
    <t>сер. 9,0</t>
  </si>
  <si>
    <t>ГОСТ 19265-73, 2590-2006</t>
  </si>
  <si>
    <t>ГОСТ 19265-73,  ГОСТ 1133-71</t>
  </si>
  <si>
    <t>ГОСТ 19265-73, 1133-71</t>
  </si>
  <si>
    <t>ГОСТ 19265, 2590</t>
  </si>
  <si>
    <t>ГОСТ 2590, 535-2006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</si>
  <si>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</si>
  <si>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</si>
  <si>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</si>
  <si>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</si>
  <si>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</si>
  <si>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</si>
  <si>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</si>
  <si>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</si>
  <si>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</si>
  <si>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</si>
  <si>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</si>
  <si>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</si>
  <si>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</si>
  <si>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</si>
  <si>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16523-97, 19903-2015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</si>
</sst>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55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22" fillId="0" borderId="10" xfId="25" applyFont="1" applyFill="1" applyBorder="1" applyAlignment="1">
      <alignment horizontal="center" vertical="center" wrapText="1"/>
    </xf>
    <xf numFmtId="0" fontId="22" fillId="0" borderId="12" xfId="25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15" borderId="12" xfId="25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17" borderId="12" xfId="0" applyFont="1" applyFill="1" applyBorder="1" applyAlignment="1">
      <alignment horizontal="center" vertical="center" wrapText="1"/>
    </xf>
    <xf numFmtId="0" fontId="22" fillId="17" borderId="12" xfId="25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6" fillId="15" borderId="12" xfId="25" applyFont="1" applyFill="1" applyBorder="1" applyAlignment="1">
      <alignment horizontal="center" vertical="center" wrapText="1"/>
    </xf>
    <xf numFmtId="0" fontId="26" fillId="0" borderId="12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0" fontId="26" fillId="17" borderId="12" xfId="25" applyFont="1" applyFill="1" applyBorder="1" applyAlignment="1">
      <alignment horizontal="center" vertical="center" wrapText="1"/>
    </xf>
    <xf numFmtId="4" fontId="26" fillId="17" borderId="12" xfId="0" applyNumberFormat="1" applyFont="1" applyFill="1" applyBorder="1" applyAlignment="1">
      <alignment horizontal="center" vertical="center" wrapText="1"/>
    </xf>
    <xf numFmtId="0" fontId="26" fillId="17" borderId="12" xfId="0" applyFont="1" applyFill="1" applyBorder="1" applyAlignment="1">
      <alignment horizontal="center" vertical="center" wrapText="1"/>
    </xf>
    <xf numFmtId="4" fontId="26" fillId="0" borderId="12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2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2" xfId="0" applyFont="1" applyFill="1" applyBorder="1" applyAlignment="1">
      <alignment horizontal="center" vertical="center"/>
    </xf>
    <xf numFmtId="3" fontId="26" fillId="0" borderId="12" xfId="25" applyNumberFormat="1" applyFont="1" applyFill="1" applyBorder="1" applyAlignment="1">
      <alignment horizontal="center" vertical="center" wrapText="1"/>
    </xf>
    <xf numFmtId="14" fontId="26" fillId="0" borderId="12" xfId="25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6" fillId="15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180" fontId="26" fillId="17" borderId="18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16" borderId="14" xfId="25" applyFont="1" applyFill="1" applyBorder="1" applyAlignment="1">
      <alignment horizontal="center" vertical="center" wrapText="1"/>
    </xf>
    <xf numFmtId="0" fontId="23" fillId="16" borderId="15" xfId="25" applyFont="1" applyFill="1" applyBorder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3" fillId="16" borderId="10" xfId="25" applyFont="1" applyFill="1" applyBorder="1" applyAlignment="1">
      <alignment horizontal="center" vertical="center" wrapText="1"/>
    </xf>
    <xf numFmtId="0" fontId="24" fillId="0" borderId="10" xfId="0" applyFont="1" applyBorder="1"/>
    <xf numFmtId="0" fontId="23" fillId="16" borderId="12" xfId="25" applyFont="1" applyFill="1" applyBorder="1" applyAlignment="1">
      <alignment horizontal="center" vertical="center" wrapText="1"/>
    </xf>
    <xf numFmtId="0" fontId="24" fillId="0" borderId="12" xfId="0" applyFont="1" applyBorder="1"/>
    <xf numFmtId="0" fontId="24" fillId="0" borderId="12" xfId="0" applyFont="1" applyBorder="1" applyAlignment="1">
      <alignment wrapText="1"/>
    </xf>
    <xf numFmtId="180" fontId="23" fillId="16" borderId="13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0"/>
  <sheetViews>
    <sheetView tabSelected="1" zoomScale="90" zoomScaleNormal="90" workbookViewId="0">
      <pane ySplit="6" topLeftCell="A7" activePane="bottomLeft" state="frozen"/>
      <selection pane="bottomLeft" activeCell="C5" sqref="C5:C6"/>
    </sheetView>
  </sheetViews>
  <sheetFormatPr baseColWidth="10" defaultRowHeight="13"/>
  <cols>
    <col min="1" max="1" width="33.33203125" style="3" customWidth="1"/>
    <col min="2" max="2" width="15.1640625" style="3" customWidth="1"/>
    <col min="3" max="3" width="43.5" style="4" customWidth="1"/>
    <col min="4" max="4" width="22.5" style="3" customWidth="1"/>
    <col min="5" max="5" width="16.5" style="3" customWidth="1"/>
    <col min="6" max="256" width="8.83203125" customWidth="1"/>
  </cols>
  <sheetData>
    <row r="1" spans="1:5" ht="18">
      <c r="A1" s="45" t="s">
        <v>59</v>
      </c>
      <c r="B1" s="45"/>
      <c r="C1" s="45"/>
      <c r="D1" s="45"/>
      <c r="E1" s="45"/>
    </row>
    <row r="2" spans="1:5" ht="18">
      <c r="A2" s="45" t="s">
        <v>60</v>
      </c>
      <c r="B2" s="45"/>
      <c r="C2" s="45"/>
      <c r="D2" s="45"/>
      <c r="E2" s="45"/>
    </row>
    <row r="3" spans="1:5" ht="19" thickBot="1">
      <c r="A3" s="45" t="s">
        <v>61</v>
      </c>
      <c r="B3" s="45"/>
      <c r="C3" s="45"/>
      <c r="D3" s="45"/>
      <c r="E3" s="45"/>
    </row>
    <row r="4" spans="1:5" ht="18">
      <c r="A4" s="46" t="s">
        <v>71</v>
      </c>
      <c r="B4" s="47"/>
      <c r="C4" s="47"/>
      <c r="D4" s="47"/>
      <c r="E4" s="48"/>
    </row>
    <row r="5" spans="1:5">
      <c r="A5" s="49" t="s">
        <v>0</v>
      </c>
      <c r="B5" s="51" t="s">
        <v>1</v>
      </c>
      <c r="C5" s="51" t="s">
        <v>2</v>
      </c>
      <c r="D5" s="51" t="s">
        <v>3</v>
      </c>
      <c r="E5" s="54" t="s">
        <v>6</v>
      </c>
    </row>
    <row r="6" spans="1:5">
      <c r="A6" s="50"/>
      <c r="B6" s="52"/>
      <c r="C6" s="53"/>
      <c r="D6" s="51"/>
      <c r="E6" s="54"/>
    </row>
    <row r="7" spans="1:5" ht="34">
      <c r="A7" s="5" t="s">
        <v>62</v>
      </c>
      <c r="B7" s="8" t="s">
        <v>4</v>
      </c>
      <c r="C7" s="13" t="s">
        <v>72</v>
      </c>
      <c r="D7" s="14" t="s">
        <v>73</v>
      </c>
      <c r="E7" s="15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-0.04-0.004-0.012-0.012-0.099-0.04-0.004+(0.1)-0.109-0.033-0.016-0.024-0.051-0.458-0.099-0.004-0.36</f>
        <v>1.3360000000000123</v>
      </c>
    </row>
    <row r="8" spans="1:5" ht="34">
      <c r="A8" s="5" t="s">
        <v>62</v>
      </c>
      <c r="B8" s="8" t="s">
        <v>4</v>
      </c>
      <c r="C8" s="13" t="s">
        <v>74</v>
      </c>
      <c r="D8" s="14" t="s">
        <v>75</v>
      </c>
      <c r="E8" s="16">
        <f>9.226-0.301-0.151-0.014-0.099-0.047-0.25-0.141-0.01-0.352-0.502-0.005-0.203-0.005-0.005-0.005-0.005-0.099-0.015-0.047-0.051-0.025-5</f>
        <v>1.894000000000001</v>
      </c>
    </row>
    <row r="9" spans="1:5" ht="34">
      <c r="A9" s="5" t="s">
        <v>62</v>
      </c>
      <c r="B9" s="8" t="s">
        <v>4</v>
      </c>
      <c r="C9" s="13" t="s">
        <v>76</v>
      </c>
      <c r="D9" s="14" t="s">
        <v>77</v>
      </c>
      <c r="E9" s="16">
        <f>9.572-0.384-1.002-0.07-0.03-0.109-0.059-0.006-0.271-0.152-0.006-0.012-0.006-0.018-0.018-0.006-0.193-0.042-1.919-0.012-0.054-0.03-0.006-0.006-0.018-0.006-0.006-0.018-1.917-0.006-0.15</f>
        <v>3.0399999999999983</v>
      </c>
    </row>
    <row r="10" spans="1:5" ht="34">
      <c r="A10" s="5" t="s">
        <v>62</v>
      </c>
      <c r="B10" s="8" t="s">
        <v>4</v>
      </c>
      <c r="C10" s="13" t="s">
        <v>76</v>
      </c>
      <c r="D10" s="14" t="s">
        <v>78</v>
      </c>
      <c r="E10" s="16">
        <f>9.742-1.981-1-3.84-1.954-0.068-0.102-0.294-0.007-0.007-0.021-0.007-0.068-0.007-0.007-0.103-0.007-0.007-0.245+(0.004)</f>
        <v>2.1000000000001181E-2</v>
      </c>
    </row>
    <row r="11" spans="1:5" ht="34">
      <c r="A11" s="5" t="s">
        <v>62</v>
      </c>
      <c r="B11" s="8" t="s">
        <v>4</v>
      </c>
      <c r="C11" s="13" t="s">
        <v>76</v>
      </c>
      <c r="D11" s="14" t="s">
        <v>78</v>
      </c>
      <c r="E11" s="16">
        <f>6.705-1.489-1.002-1.763-0.109-0.007-0.021-0.068-0.202-0.014-0.007-0.035-0.068-0.095-0.014-0.007-0.303-0.047-0.028-0.007-0.007-0.007-0.007-0.203-0.007-0.007-0.135-0.068-0.122-0.102</f>
        <v>0.75400000000000134</v>
      </c>
    </row>
    <row r="12" spans="1:5" ht="34">
      <c r="A12" s="5" t="s">
        <v>62</v>
      </c>
      <c r="B12" s="8" t="s">
        <v>4</v>
      </c>
      <c r="C12" s="13" t="s">
        <v>79</v>
      </c>
      <c r="D12" s="14" t="s">
        <v>80</v>
      </c>
      <c r="E12" s="16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3" spans="1:5" ht="34">
      <c r="A13" s="5" t="s">
        <v>62</v>
      </c>
      <c r="B13" s="8" t="s">
        <v>4</v>
      </c>
      <c r="C13" s="13" t="s">
        <v>79</v>
      </c>
      <c r="D13" s="14" t="s">
        <v>80</v>
      </c>
      <c r="E13" s="16">
        <f>20.31-4.84-13.002-0.19-0.019-0.057-0.096-0.076-0.019-0.019-0.019-0.019-0.019-0.019-0.019-0.019-0.019-0.096-0.019-0.229-0.038-0.019-0.038-0.191-0.21-0.057-0.019-0.286-0.019-0.191-0.038-0.019-0.209-0.019-0.019</f>
        <v>0.14299999999999849</v>
      </c>
    </row>
    <row r="14" spans="1:5" ht="34">
      <c r="A14" s="5" t="s">
        <v>62</v>
      </c>
      <c r="B14" s="8" t="s">
        <v>4</v>
      </c>
      <c r="C14" s="13" t="s">
        <v>79</v>
      </c>
      <c r="D14" s="14" t="s">
        <v>80</v>
      </c>
      <c r="E14" s="16">
        <f>21.71-1.5-1.5-0.608-4.997-11</f>
        <v>2.1050000000000004</v>
      </c>
    </row>
    <row r="15" spans="1:5" ht="34">
      <c r="A15" s="5" t="s">
        <v>62</v>
      </c>
      <c r="B15" s="8" t="s">
        <v>4</v>
      </c>
      <c r="C15" s="13" t="s">
        <v>76</v>
      </c>
      <c r="D15" s="17" t="s">
        <v>81</v>
      </c>
      <c r="E15" s="18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</f>
        <v>0.19199999999999651</v>
      </c>
    </row>
    <row r="16" spans="1:5" ht="34">
      <c r="A16" s="5" t="s">
        <v>62</v>
      </c>
      <c r="B16" s="8" t="s">
        <v>4</v>
      </c>
      <c r="C16" s="13" t="s">
        <v>76</v>
      </c>
      <c r="D16" s="14" t="s">
        <v>82</v>
      </c>
      <c r="E16" s="16">
        <f>17.196-3.884-3.812-0.994-3.808-0.072-0.3-1.898-0.011-0.103-0.044-0.011-0.011-0.011-0.033-0.011-0.052-0.052-0.198-0.106-0.011-0.104-0.103-0.332-0.104-0.011-0.105-0.062-0.57-0.022-0.044-0.062-0.022-0.011-0.011-0.044-0.011-0.011-0.011-0.011-0.052-0.011-0.022</f>
        <v>3.8000000000001623E-2</v>
      </c>
    </row>
    <row r="17" spans="1:5" ht="34">
      <c r="A17" s="5" t="s">
        <v>62</v>
      </c>
      <c r="B17" s="8" t="s">
        <v>4</v>
      </c>
      <c r="C17" s="13" t="s">
        <v>76</v>
      </c>
      <c r="D17" s="14" t="s">
        <v>82</v>
      </c>
      <c r="E17" s="16">
        <f>16.584-3.613-3.762-3.703-3.683-0.31-0.011-0.022-0.033-0.011-0.011-0.31</f>
        <v>1.1150000000000007</v>
      </c>
    </row>
    <row r="18" spans="1:5" ht="34">
      <c r="A18" s="5" t="s">
        <v>62</v>
      </c>
      <c r="B18" s="8" t="s">
        <v>4</v>
      </c>
      <c r="C18" s="13" t="s">
        <v>79</v>
      </c>
      <c r="D18" s="14" t="s">
        <v>83</v>
      </c>
      <c r="E18" s="16">
        <f>15.76-1.004-0.028-0.059-0.144-0.145-0.029-0.029-0.029-0.029-0.059-0.084-0.056-0.058-0.112-0.258-0.029-0.029-0.457-0.029-0.06-0.056-0.029-1.516-1.49-0.516-0.057-0.116-0.142-0.029-0.029-1.292-0.029-0.03-0.603-0.029-0.029-1.5-1.5-0.086-0.029-0.029-0.029-0.086-0.03-2</f>
        <v>1.7520000000000056</v>
      </c>
    </row>
    <row r="19" spans="1:5" ht="34">
      <c r="A19" s="5" t="s">
        <v>62</v>
      </c>
      <c r="B19" s="8" t="s">
        <v>4</v>
      </c>
      <c r="C19" s="13" t="s">
        <v>84</v>
      </c>
      <c r="D19" s="14" t="s">
        <v>85</v>
      </c>
      <c r="E19" s="15">
        <f>2.874-0.208-0.166-0.012-0.048-0.024-0.077-0.055-0.089-0.077-0.165-0.012-0.036-0.012-0.34-0.012-0.165-0.036-0.012-0.033-0.036-0.012-0.012-0.198-0.036-0.048-0.036-0.111-0.165-0.012-0.012-0.186-0.012-0.012</f>
        <v>0.40699999999999953</v>
      </c>
    </row>
    <row r="20" spans="1:5" ht="34">
      <c r="A20" s="5" t="s">
        <v>62</v>
      </c>
      <c r="B20" s="8" t="s">
        <v>4</v>
      </c>
      <c r="C20" s="13" t="s">
        <v>76</v>
      </c>
      <c r="D20" s="17" t="s">
        <v>86</v>
      </c>
      <c r="E20" s="18">
        <f>18.99-1.885-5.722-0.499-0.207-3.77-0.014-1.922-0.194-0.497-0.014-0.042-0.03-0.014-0.36-1.971</f>
        <v>1.8489999999999944</v>
      </c>
    </row>
    <row r="21" spans="1:5" ht="34">
      <c r="A21" s="5" t="s">
        <v>62</v>
      </c>
      <c r="B21" s="8" t="s">
        <v>4</v>
      </c>
      <c r="C21" s="13" t="s">
        <v>79</v>
      </c>
      <c r="D21" s="14" t="s">
        <v>87</v>
      </c>
      <c r="E21" s="16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2" spans="1:5" ht="34">
      <c r="A22" s="5" t="s">
        <v>62</v>
      </c>
      <c r="B22" s="8" t="s">
        <v>4</v>
      </c>
      <c r="C22" s="13" t="s">
        <v>79</v>
      </c>
      <c r="D22" s="14" t="s">
        <v>87</v>
      </c>
      <c r="E22" s="16">
        <f>18.34-0.42-0.076-0.46-0.456-0.266-0.04-0.152-0.686-0.114-0.19-0.115-0.04-0.72-13</f>
        <v>1.6049999999999986</v>
      </c>
    </row>
    <row r="23" spans="1:5" ht="34">
      <c r="A23" s="5" t="s">
        <v>62</v>
      </c>
      <c r="B23" s="9" t="s">
        <v>4</v>
      </c>
      <c r="C23" s="13" t="s">
        <v>84</v>
      </c>
      <c r="D23" s="17" t="s">
        <v>88</v>
      </c>
      <c r="E23" s="19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4" spans="1:5" ht="34">
      <c r="A24" s="5" t="s">
        <v>62</v>
      </c>
      <c r="B24" s="8" t="s">
        <v>4</v>
      </c>
      <c r="C24" s="13" t="s">
        <v>84</v>
      </c>
      <c r="D24" s="17" t="s">
        <v>88</v>
      </c>
      <c r="E24" s="19">
        <f>9.208-0.43-0.173-0.258-1.496-0.052-0.207-0.054-0.018-0.036-0.173-0.018-0.188-0.018-0.208-0.018-0.171-0.5-0.207-0.018-1.865-0.069-0.207-0.052-0.052-0.018-0.105-0.018-0.189-0.086-1.002-0.208-0.172</f>
        <v>0.92200000000000304</v>
      </c>
    </row>
    <row r="25" spans="1:5" ht="34">
      <c r="A25" s="5" t="s">
        <v>62</v>
      </c>
      <c r="B25" s="8" t="s">
        <v>4</v>
      </c>
      <c r="C25" s="13" t="s">
        <v>76</v>
      </c>
      <c r="D25" s="17" t="s">
        <v>89</v>
      </c>
      <c r="E25" s="18">
        <f>19.593-3.864-0.21-0.498-3.917-3.942-0.083-0.515-0.165-0.102-0.103-1.97-2.87</f>
        <v>1.3539999999999992</v>
      </c>
    </row>
    <row r="26" spans="1:5" ht="34">
      <c r="A26" s="5" t="s">
        <v>62</v>
      </c>
      <c r="B26" s="9" t="s">
        <v>12</v>
      </c>
      <c r="C26" s="13" t="s">
        <v>90</v>
      </c>
      <c r="D26" s="20" t="s">
        <v>73</v>
      </c>
      <c r="E26" s="19">
        <f>2.984-0.199-0.004-0.201-0.036-0.04-0.004-0.04-0.004-0.008-0.004-0.004-0.004-0.5-0.004-0.004-0.004-0.004-0.004-0.004-0.302-0.057-0.004-0.051-0.004-0.012-0.004-0.008-0.004-0.008-0.008-0.012-0.004-0.036-0.192-0.004-0.004-0.004-0.012-0.032-0.004-0.032</f>
        <v>1.1139999999999999</v>
      </c>
    </row>
    <row r="27" spans="1:5" ht="34">
      <c r="A27" s="5" t="s">
        <v>62</v>
      </c>
      <c r="B27" s="10" t="s">
        <v>12</v>
      </c>
      <c r="C27" s="21" t="s">
        <v>76</v>
      </c>
      <c r="D27" s="22" t="s">
        <v>91</v>
      </c>
      <c r="E27" s="19">
        <f>0.526-0.1-0.118+(0.088)-0.007-0.001-0.001-0.01-0.001-0.001-0.01-0.001</f>
        <v>0.36399999999999999</v>
      </c>
    </row>
    <row r="28" spans="1:5" ht="34">
      <c r="A28" s="5" t="s">
        <v>62</v>
      </c>
      <c r="B28" s="10" t="s">
        <v>12</v>
      </c>
      <c r="C28" s="21" t="s">
        <v>76</v>
      </c>
      <c r="D28" s="22" t="s">
        <v>92</v>
      </c>
      <c r="E28" s="19">
        <f>0.118-0.014</f>
        <v>0.104</v>
      </c>
    </row>
    <row r="29" spans="1:5" ht="34">
      <c r="A29" s="5" t="s">
        <v>62</v>
      </c>
      <c r="B29" s="10" t="s">
        <v>12</v>
      </c>
      <c r="C29" s="13" t="s">
        <v>90</v>
      </c>
      <c r="D29" s="22" t="s">
        <v>93</v>
      </c>
      <c r="E29" s="19">
        <f>2.974-0.027-0.04-0.035-0.015-0.48-0.005-0.005-0.298-0.05-0.01-0.005-0.005-0.005-0.04-0.005</f>
        <v>1.9490000000000007</v>
      </c>
    </row>
    <row r="30" spans="1:5" ht="34">
      <c r="A30" s="5" t="s">
        <v>62</v>
      </c>
      <c r="B30" s="10" t="s">
        <v>12</v>
      </c>
      <c r="C30" s="13" t="s">
        <v>90</v>
      </c>
      <c r="D30" s="22" t="s">
        <v>75</v>
      </c>
      <c r="E30" s="19">
        <f>3.069-0.034-0.005-0.5-0.09-0.005-0.005-0.298-0.005-0.005-0.035</f>
        <v>2.0870000000000006</v>
      </c>
    </row>
    <row r="31" spans="1:5" ht="34">
      <c r="A31" s="5" t="s">
        <v>62</v>
      </c>
      <c r="B31" s="10" t="s">
        <v>12</v>
      </c>
      <c r="C31" s="13" t="s">
        <v>90</v>
      </c>
      <c r="D31" s="22" t="s">
        <v>77</v>
      </c>
      <c r="E31" s="19">
        <f>3.038-0.303-0.099-0.006-0.006-0.012-0.018-0.049-0.024-0.066-0.006-0.102-0.05-0.006-0.006-0.006-0.104-0.018-0.012-0.006-0.006-0.057-0.006-0.298-0.006-0.006-0.056-0.006-0.1-0.012-0.006-0.006-0.012-0.103-0.018-0.006-0.006-0.066-0.012-0.05-0.299-0.056-0.012-0.056-0.006</f>
        <v>0.87200000000000211</v>
      </c>
    </row>
    <row r="32" spans="1:5" ht="34">
      <c r="A32" s="5" t="s">
        <v>62</v>
      </c>
      <c r="B32" s="9" t="s">
        <v>12</v>
      </c>
      <c r="C32" s="21" t="s">
        <v>94</v>
      </c>
      <c r="D32" s="22" t="s">
        <v>95</v>
      </c>
      <c r="E32" s="19">
        <f>2.11-0.016-0.048-0.016-0.755-0.016-0.032-0.804-0.016-(0.007)-0.016-0.016-0.016-0.016-0.016-0.016-0.016-0.016-0.016-0.109-0.142</f>
        <v>4.9999999999996991E-3</v>
      </c>
    </row>
    <row r="33" spans="1:5" ht="34">
      <c r="A33" s="5" t="s">
        <v>62</v>
      </c>
      <c r="B33" s="10" t="s">
        <v>12</v>
      </c>
      <c r="C33" s="21" t="s">
        <v>94</v>
      </c>
      <c r="D33" s="22" t="s">
        <v>96</v>
      </c>
      <c r="E33" s="19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-0.304</f>
        <v>0.38799999999999862</v>
      </c>
    </row>
    <row r="34" spans="1:5" ht="34">
      <c r="A34" s="5" t="s">
        <v>62</v>
      </c>
      <c r="B34" s="10" t="s">
        <v>12</v>
      </c>
      <c r="C34" s="21" t="s">
        <v>94</v>
      </c>
      <c r="D34" s="22" t="s">
        <v>96</v>
      </c>
      <c r="E34" s="19">
        <f>0.308</f>
        <v>0.308</v>
      </c>
    </row>
    <row r="35" spans="1:5" ht="34">
      <c r="A35" s="5" t="s">
        <v>62</v>
      </c>
      <c r="B35" s="10" t="s">
        <v>12</v>
      </c>
      <c r="C35" s="21" t="s">
        <v>94</v>
      </c>
      <c r="D35" s="22" t="s">
        <v>97</v>
      </c>
      <c r="E35" s="19">
        <f>2.944-(0.482)-0.018-0.018-0.051-0.174-0.018-0.296-0.278-0.018-0.036-0.018-0.018-0.018-0.173-0.085-0.018-0.018-0.018-0.036-0.036-0.052-0.052-0.018-0.018-0.174-0.018-0.018-0.051-0.102-0.036-0.018-0.018-0.054-0.018-0.05-0.312</f>
        <v>0.10799999999999982</v>
      </c>
    </row>
    <row r="36" spans="1:5" ht="34">
      <c r="A36" s="5" t="s">
        <v>62</v>
      </c>
      <c r="B36" s="10" t="s">
        <v>12</v>
      </c>
      <c r="C36" s="13" t="s">
        <v>90</v>
      </c>
      <c r="D36" s="20" t="s">
        <v>81</v>
      </c>
      <c r="E36" s="19">
        <f>2.974-0.252-0.302-0.126-0.018-0.034-0.045-0.036-0.502-0.298-0.018-0.018-0.036-0.497-0.2-0.027-0.009-0.027-0.009-0.009-0.027-0.009-0.009-0.036-0.018-0.083-0.009-0.018-0.009-0.036</f>
        <v>0.25700000000000062</v>
      </c>
    </row>
    <row r="37" spans="1:5" ht="34">
      <c r="A37" s="5" t="s">
        <v>62</v>
      </c>
      <c r="B37" s="9" t="s">
        <v>12</v>
      </c>
      <c r="C37" s="13" t="s">
        <v>90</v>
      </c>
      <c r="D37" s="20" t="s">
        <v>98</v>
      </c>
      <c r="E37" s="19">
        <f>2.953-0.7-0.5-0.04-0.01-0.02-0.067-0.197-0.204-0.118-0.01-0.01</f>
        <v>1.077</v>
      </c>
    </row>
    <row r="38" spans="1:5" ht="34">
      <c r="A38" s="5" t="s">
        <v>62</v>
      </c>
      <c r="B38" s="9" t="s">
        <v>12</v>
      </c>
      <c r="C38" s="13" t="s">
        <v>99</v>
      </c>
      <c r="D38" s="20" t="s">
        <v>100</v>
      </c>
      <c r="E38" s="19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</f>
        <v>1.9999999999992246E-3</v>
      </c>
    </row>
    <row r="39" spans="1:5" ht="34">
      <c r="A39" s="5" t="s">
        <v>62</v>
      </c>
      <c r="B39" s="9" t="s">
        <v>12</v>
      </c>
      <c r="C39" s="21" t="s">
        <v>94</v>
      </c>
      <c r="D39" s="22" t="s">
        <v>101</v>
      </c>
      <c r="E39" s="19">
        <f>5.17-0.165-0.056-0.028-0.028-0.028-0.028-0.217-0.11-0.301-0.055-0.163-0.028-0.028-0.028-0.08-0.028-0.488-0.164-0.082-0.272-0.406-0.082-0.49-0.163-0.056-0.299-0.49-0.054-0.516-0.11-0.028</f>
        <v>9.9000000000001892E-2</v>
      </c>
    </row>
    <row r="40" spans="1:5" ht="34">
      <c r="A40" s="5" t="s">
        <v>62</v>
      </c>
      <c r="B40" s="10" t="s">
        <v>12</v>
      </c>
      <c r="C40" s="21" t="s">
        <v>94</v>
      </c>
      <c r="D40" s="22" t="s">
        <v>101</v>
      </c>
      <c r="E40" s="19">
        <f>0.406-0.028-0.026</f>
        <v>0.35199999999999998</v>
      </c>
    </row>
    <row r="41" spans="1:5" ht="34">
      <c r="A41" s="5" t="s">
        <v>62</v>
      </c>
      <c r="B41" s="10" t="s">
        <v>12</v>
      </c>
      <c r="C41" s="21" t="s">
        <v>94</v>
      </c>
      <c r="D41" s="22" t="s">
        <v>102</v>
      </c>
      <c r="E41" s="19">
        <f>10.122-0.072-0.32-0.037-0.212-0.037-0.037-0.072-0.214-0.037-0.992-0.037-0.107-0.037-0.11-0.037-0.108-0.037-0.037-0.037-0.46-0.214-0.037-0.037-0.037-0.037-0.037-0.104-0.037-0.037-0.111-0.074-0.037-0.037-0.072-0.037-0.106-0.037-0.072-0.07-0.142-0.037-0.5-0.496-0.212-0.036-0.037-0.072-0.21-0.185-3.5</f>
        <v>0.4279999999999986</v>
      </c>
    </row>
    <row r="42" spans="1:5" ht="34">
      <c r="A42" s="5" t="s">
        <v>62</v>
      </c>
      <c r="B42" s="10" t="s">
        <v>12</v>
      </c>
      <c r="C42" s="13" t="s">
        <v>90</v>
      </c>
      <c r="D42" s="20" t="s">
        <v>85</v>
      </c>
      <c r="E42" s="19">
        <f>2.906-1.504-0.036-0.167-0.036-0.17-0.012-0.067-0.012-0.056-0.012-0.024-0.024-0.078-0.012</f>
        <v>0.69599999999999984</v>
      </c>
    </row>
    <row r="43" spans="1:5" ht="34">
      <c r="A43" s="5" t="s">
        <v>62</v>
      </c>
      <c r="B43" s="9" t="s">
        <v>12</v>
      </c>
      <c r="C43" s="13" t="s">
        <v>90</v>
      </c>
      <c r="D43" s="20" t="s">
        <v>103</v>
      </c>
      <c r="E43" s="19">
        <f>3.056-0.251-0.012-0.238-0.012-0.012-0.12-0.036-0.024-0.024-0.296-0.012-0.036-0.382-0.036</f>
        <v>1.5649999999999999</v>
      </c>
    </row>
    <row r="44" spans="1:5" ht="34">
      <c r="A44" s="5" t="s">
        <v>62</v>
      </c>
      <c r="B44" s="9" t="s">
        <v>12</v>
      </c>
      <c r="C44" s="21" t="s">
        <v>94</v>
      </c>
      <c r="D44" s="22" t="s">
        <v>104</v>
      </c>
      <c r="E44" s="19">
        <f>5.196-0.664-0.037-0.404-0.114-0.111-0.037-0.037-0.074-0.514-2.022-0.037-0.037-0.037-0.074</f>
        <v>0.99700000000000111</v>
      </c>
    </row>
    <row r="45" spans="1:5" ht="34">
      <c r="A45" s="5" t="s">
        <v>62</v>
      </c>
      <c r="B45" s="10" t="s">
        <v>12</v>
      </c>
      <c r="C45" s="21" t="s">
        <v>94</v>
      </c>
      <c r="D45" s="22" t="s">
        <v>104</v>
      </c>
      <c r="E45" s="19">
        <f>0.404</f>
        <v>0.40400000000000003</v>
      </c>
    </row>
    <row r="46" spans="1:5" ht="34">
      <c r="A46" s="5" t="s">
        <v>62</v>
      </c>
      <c r="B46" s="10" t="s">
        <v>12</v>
      </c>
      <c r="C46" s="21" t="s">
        <v>94</v>
      </c>
      <c r="D46" s="22" t="s">
        <v>105</v>
      </c>
      <c r="E46" s="19">
        <f>3.042-0.049-0.5-0.048-0.48-0.048-0.05</f>
        <v>1.8669999999999998</v>
      </c>
    </row>
    <row r="47" spans="1:5" ht="34">
      <c r="A47" s="5" t="s">
        <v>62</v>
      </c>
      <c r="B47" s="10" t="s">
        <v>12</v>
      </c>
      <c r="C47" s="21" t="s">
        <v>94</v>
      </c>
      <c r="D47" s="22" t="s">
        <v>106</v>
      </c>
      <c r="E47" s="19">
        <f>3.066-0.06-0.121-0.06-(0.273)-0.111-0.06-0.276-0.054-0.054-0.108</f>
        <v>1.8889999999999996</v>
      </c>
    </row>
    <row r="48" spans="1:5" ht="34">
      <c r="A48" s="5" t="s">
        <v>62</v>
      </c>
      <c r="B48" s="10" t="s">
        <v>5</v>
      </c>
      <c r="C48" s="21" t="s">
        <v>107</v>
      </c>
      <c r="D48" s="14" t="s">
        <v>108</v>
      </c>
      <c r="E48" s="16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</f>
        <v>0.87700000000000089</v>
      </c>
    </row>
    <row r="49" spans="1:5" ht="34">
      <c r="A49" s="5" t="s">
        <v>62</v>
      </c>
      <c r="B49" s="10" t="s">
        <v>5</v>
      </c>
      <c r="C49" s="21" t="s">
        <v>107</v>
      </c>
      <c r="D49" s="14" t="s">
        <v>109</v>
      </c>
      <c r="E49" s="16">
        <f>2.476-0.008-0.008-0.004-0.016-0.004-0.004-0.018</f>
        <v>2.4140000000000001</v>
      </c>
    </row>
    <row r="50" spans="1:5" ht="34">
      <c r="A50" s="5" t="s">
        <v>62</v>
      </c>
      <c r="B50" s="10" t="s">
        <v>5</v>
      </c>
      <c r="C50" s="21" t="s">
        <v>110</v>
      </c>
      <c r="D50" s="14" t="s">
        <v>111</v>
      </c>
      <c r="E50" s="15">
        <f>2-1.33-0.012-0.008+0.012-0.101-0.252</f>
        <v>0.30899999999999994</v>
      </c>
    </row>
    <row r="51" spans="1:5" ht="34">
      <c r="A51" s="5" t="s">
        <v>62</v>
      </c>
      <c r="B51" s="10" t="s">
        <v>5</v>
      </c>
      <c r="C51" s="21" t="s">
        <v>110</v>
      </c>
      <c r="D51" s="14" t="s">
        <v>112</v>
      </c>
      <c r="E51" s="15">
        <f>1.59-0.302-0.3-0.2-0.0042-0.008-0.008-0.004-0.302-0.262</f>
        <v>0.19980000000000003</v>
      </c>
    </row>
    <row r="52" spans="1:5" ht="34">
      <c r="A52" s="5" t="s">
        <v>62</v>
      </c>
      <c r="B52" s="10" t="s">
        <v>5</v>
      </c>
      <c r="C52" s="21" t="s">
        <v>107</v>
      </c>
      <c r="D52" s="14" t="s">
        <v>112</v>
      </c>
      <c r="E52" s="15">
        <f>2.491-0.19-0.008-0.302</f>
        <v>1.9910000000000001</v>
      </c>
    </row>
    <row r="53" spans="1:5" ht="34">
      <c r="A53" s="5" t="s">
        <v>62</v>
      </c>
      <c r="B53" s="10" t="s">
        <v>5</v>
      </c>
      <c r="C53" s="21" t="s">
        <v>110</v>
      </c>
      <c r="D53" s="14" t="s">
        <v>113</v>
      </c>
      <c r="E53" s="15">
        <f>1.935-0.0045-0.384-0.0045-0.053-0.0135-0.0045-0.018-0.009-0.048-0.048-0.101-0.053-0.049-0.3-0.098-0.2-0.049-0.018-0.036-0.071-0.0045-0.0045-0.2-0.0045-0.103-0.009-0.018-0.0045</f>
        <v>2.5000000000000147E-2</v>
      </c>
    </row>
    <row r="54" spans="1:5" ht="34">
      <c r="A54" s="5" t="s">
        <v>62</v>
      </c>
      <c r="B54" s="10" t="s">
        <v>5</v>
      </c>
      <c r="C54" s="21" t="s">
        <v>110</v>
      </c>
      <c r="D54" s="14" t="s">
        <v>114</v>
      </c>
      <c r="E54" s="16">
        <f>3.222-0.049-0.0096-0.0144-0.0048-0.102-0.058-0.5-0.0096-0.408-0.098-1.27-0.049-0.31-(0.0006)-0.015-0.005-0.005-0.01-0.01</f>
        <v>0.29400000000000048</v>
      </c>
    </row>
    <row r="55" spans="1:5" ht="34">
      <c r="A55" s="5" t="s">
        <v>62</v>
      </c>
      <c r="B55" s="10" t="s">
        <v>5</v>
      </c>
      <c r="C55" s="21" t="s">
        <v>107</v>
      </c>
      <c r="D55" s="14" t="s">
        <v>114</v>
      </c>
      <c r="E55" s="16">
        <f>10.006-0.005-0.198-0.5-0.155-0.01-0.05-0.099-0.249-0.3-0.248-0.01-0.005-0.005-0.014-0.01-0.5-0.005-0.075-0.2-0.499-0.503-0.28-0.159-0.04-0.01-0.019-0.34-3.38</f>
        <v>2.1379999999999981</v>
      </c>
    </row>
    <row r="56" spans="1:5" ht="34">
      <c r="A56" s="5" t="s">
        <v>62</v>
      </c>
      <c r="B56" s="10" t="s">
        <v>5</v>
      </c>
      <c r="C56" s="21" t="s">
        <v>107</v>
      </c>
      <c r="D56" s="14" t="s">
        <v>114</v>
      </c>
      <c r="E56" s="16">
        <f>3.886</f>
        <v>3.8860000000000001</v>
      </c>
    </row>
    <row r="57" spans="1:5" ht="34">
      <c r="A57" s="5" t="s">
        <v>62</v>
      </c>
      <c r="B57" s="10" t="s">
        <v>5</v>
      </c>
      <c r="C57" s="23" t="s">
        <v>115</v>
      </c>
      <c r="D57" s="24" t="s">
        <v>116</v>
      </c>
      <c r="E57" s="25">
        <f>4.82-0.762-0.019-0.185-1.008-0.576-0.594-0.019-0.019-0.799-0.353-0.13</f>
        <v>0.35599999999999987</v>
      </c>
    </row>
    <row r="58" spans="1:5" ht="34">
      <c r="A58" s="5" t="s">
        <v>62</v>
      </c>
      <c r="B58" s="10" t="s">
        <v>5</v>
      </c>
      <c r="C58" s="23" t="s">
        <v>117</v>
      </c>
      <c r="D58" s="24" t="s">
        <v>116</v>
      </c>
      <c r="E58" s="25">
        <f>8.32-0.132-0.019-0.81-1-0.038-2.5-1.083-0.226-0.019-0.151-0.019-0.038-0.019-0.227-0.056</f>
        <v>1.9829999999999997</v>
      </c>
    </row>
    <row r="59" spans="1:5" ht="34">
      <c r="A59" s="5" t="s">
        <v>62</v>
      </c>
      <c r="B59" s="10" t="s">
        <v>5</v>
      </c>
      <c r="C59" s="23" t="s">
        <v>117</v>
      </c>
      <c r="D59" s="24" t="s">
        <v>118</v>
      </c>
      <c r="E59" s="19">
        <f>19.14-0.51-0.048-0.807-0.192-0.439-0.025-0.318-1.002-0.6-0.074-12</f>
        <v>3.1250000000000018</v>
      </c>
    </row>
    <row r="60" spans="1:5" ht="34">
      <c r="A60" s="5" t="s">
        <v>62</v>
      </c>
      <c r="B60" s="10" t="s">
        <v>5</v>
      </c>
      <c r="C60" s="23" t="s">
        <v>117</v>
      </c>
      <c r="D60" s="24" t="s">
        <v>119</v>
      </c>
      <c r="E60" s="19">
        <f>23.74-0.024-0.022-0.091-2.025-0.496-0.024-0.024-4.503-0.045-0.048-0.112-0.048-0.498-0.202-0.517-0.99-11.12</f>
        <v>2.9510000000000041</v>
      </c>
    </row>
    <row r="61" spans="1:5" ht="34">
      <c r="A61" s="5" t="s">
        <v>62</v>
      </c>
      <c r="B61" s="10" t="s">
        <v>5</v>
      </c>
      <c r="C61" s="23" t="s">
        <v>120</v>
      </c>
      <c r="D61" s="24" t="s">
        <v>121</v>
      </c>
      <c r="E61" s="19">
        <f>17.02-1.096-0.504-0.057-0.508-0.508-1.49-0.056-0.057-0.057-0.395-0.03-0.197-0.113-0.03-0.03-0.252-0.113-0.507-0.03-1.98-0.03-0.224-0.03-1.26-1.264-0.73-0.113-0.028-0.98-0.506-0.141-0.06-1.378-0.03-0.03-0.844-0.309-0.03-0.197-0.03-0.15-0.5</f>
        <v>0.14600000000000668</v>
      </c>
    </row>
    <row r="62" spans="1:5" ht="34">
      <c r="A62" s="5" t="s">
        <v>62</v>
      </c>
      <c r="B62" s="10" t="s">
        <v>5</v>
      </c>
      <c r="C62" s="23" t="s">
        <v>122</v>
      </c>
      <c r="D62" s="24" t="s">
        <v>121</v>
      </c>
      <c r="E62" s="19">
        <f>29.45-0.114-0.42-0.224-0.084-0.2-6.44-0.084-0.03-0.114-0.504-0.306-1.02-0.03-1.493-5.99-0.056-0.504-1.83-4.65-0.03-0.423-0.593-0.057-0.509-1.62</f>
        <v>2.1249999999999933</v>
      </c>
    </row>
    <row r="63" spans="1:5" ht="34">
      <c r="A63" s="5" t="s">
        <v>62</v>
      </c>
      <c r="B63" s="10" t="s">
        <v>5</v>
      </c>
      <c r="C63" s="23" t="s">
        <v>117</v>
      </c>
      <c r="D63" s="24" t="s">
        <v>102</v>
      </c>
      <c r="E63" s="19">
        <f>19.3-2.502-0.882-0.037-0.11-0.147-0.6-0.5-0.074-0.814-10</f>
        <v>3.6340000000000021</v>
      </c>
    </row>
    <row r="64" spans="1:5" ht="34">
      <c r="A64" s="5" t="s">
        <v>62</v>
      </c>
      <c r="B64" s="10" t="s">
        <v>5</v>
      </c>
      <c r="C64" s="23" t="s">
        <v>117</v>
      </c>
      <c r="D64" s="24" t="s">
        <v>123</v>
      </c>
      <c r="E64" s="19">
        <f>26.63-0.121-0.392-0.06-0.03-0.03-5-0.03-0.12-0.725-0.42-15</f>
        <v>4.7019999999999946</v>
      </c>
    </row>
    <row r="65" spans="1:5" ht="34">
      <c r="A65" s="5" t="s">
        <v>62</v>
      </c>
      <c r="B65" s="10" t="s">
        <v>5</v>
      </c>
      <c r="C65" s="23" t="s">
        <v>124</v>
      </c>
      <c r="D65" s="24" t="s">
        <v>125</v>
      </c>
      <c r="E65" s="19">
        <f>18.42-1.006-1.12-0.038-0.038-0.339-0.486-0.524-0.15-1.534-0.112-0.298-0.524-3.91-0.112-0.49-0.074-1.534-0.187-0.3-0.113-1.014-0.04-0.188-0.262-0.04-0.599-0.04-0.038-0.488-0.15</f>
        <v>2.6719999999999975</v>
      </c>
    </row>
    <row r="66" spans="1:5" ht="34">
      <c r="A66" s="5" t="s">
        <v>62</v>
      </c>
      <c r="B66" s="10" t="s">
        <v>5</v>
      </c>
      <c r="C66" s="23" t="s">
        <v>126</v>
      </c>
      <c r="D66" s="24" t="s">
        <v>125</v>
      </c>
      <c r="E66" s="19">
        <f>11.39-0.412-0.338-0.488-1.004-3.98-0.075-0.528-1.014-0.825-0.112-0.04-0.04-0.04-0.112-0.449-0.46-0.113-0.224-0.338-0.524-0.04-0.04-0.04</f>
        <v>0.15400000000000044</v>
      </c>
    </row>
    <row r="67" spans="1:5" ht="34">
      <c r="A67" s="5" t="s">
        <v>62</v>
      </c>
      <c r="B67" s="10" t="s">
        <v>5</v>
      </c>
      <c r="C67" s="23" t="s">
        <v>126</v>
      </c>
      <c r="D67" s="24" t="s">
        <v>125</v>
      </c>
      <c r="E67" s="19">
        <f>20.85-1.012-0.113-0.302-0.3-0.562-1.01-0.04-0.04-0.639-1.99-4.28-0.526-0.488-1.69-0.113-0.038-0.638-4.89-0.04-0.038-0.074-0.113-1.614-0.04-0.188-0.04</f>
        <v>3.2000000000002284E-2</v>
      </c>
    </row>
    <row r="68" spans="1:5" ht="34">
      <c r="A68" s="5" t="s">
        <v>62</v>
      </c>
      <c r="B68" s="10" t="s">
        <v>5</v>
      </c>
      <c r="C68" s="23" t="s">
        <v>117</v>
      </c>
      <c r="D68" s="24" t="s">
        <v>105</v>
      </c>
      <c r="E68" s="19">
        <f>26.87-1.99-3.989-0.049-0.049-0.341-0.049-0.972-0.049-0.488-0.15-5.5-10</f>
        <v>3.2440000000000033</v>
      </c>
    </row>
    <row r="69" spans="1:5" ht="34">
      <c r="A69" s="5" t="s">
        <v>62</v>
      </c>
      <c r="B69" s="10" t="s">
        <v>5</v>
      </c>
      <c r="C69" s="23" t="s">
        <v>127</v>
      </c>
      <c r="D69" s="24" t="s">
        <v>128</v>
      </c>
      <c r="E69" s="19">
        <f>14.48-2.994-0.99-0.516-0.514-1.02-0.65-0.976-0.512-0.65-1.31-0.378-0.282-0.978-0.984-0.514-0.236-0.187</f>
        <v>0.78900000000000081</v>
      </c>
    </row>
    <row r="70" spans="1:5" ht="34">
      <c r="A70" s="5" t="s">
        <v>62</v>
      </c>
      <c r="B70" s="10" t="s">
        <v>5</v>
      </c>
      <c r="C70" s="23" t="s">
        <v>129</v>
      </c>
      <c r="D70" s="24" t="s">
        <v>130</v>
      </c>
      <c r="E70" s="25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71" spans="1:5" ht="34">
      <c r="A71" s="5" t="s">
        <v>62</v>
      </c>
      <c r="B71" s="10" t="s">
        <v>5</v>
      </c>
      <c r="C71" s="23" t="s">
        <v>124</v>
      </c>
      <c r="D71" s="24" t="s">
        <v>130</v>
      </c>
      <c r="E71" s="19">
        <f>16.72-0.056-1.85-1.127-2.58-0.113-4.52-1.862-0.34-0.056-0.113-0.506-0.282-0.056-(0.001)-0.62-0.281-0.957-0.225-0.508</f>
        <v>0.66699999999999759</v>
      </c>
    </row>
    <row r="72" spans="1:5" ht="34">
      <c r="A72" s="5" t="s">
        <v>62</v>
      </c>
      <c r="B72" s="10" t="s">
        <v>5</v>
      </c>
      <c r="C72" s="23" t="s">
        <v>131</v>
      </c>
      <c r="D72" s="24" t="s">
        <v>130</v>
      </c>
      <c r="E72" s="19">
        <f>26.59-0.057-1.204-0.171-0.113-0.395-0.113-0.226-0.113-0.057-0.057-3.002-0.057-0.101-0.057-0.113-1.972-0.113-0.225-0.62-0.057-0.282-0.17-0.057-0.395-0.113-0.113-0.113-0.338-6.396-0.114-1-0.057-2-6</f>
        <v>0.61900000000000865</v>
      </c>
    </row>
    <row r="73" spans="1:5" ht="34">
      <c r="A73" s="5" t="s">
        <v>62</v>
      </c>
      <c r="B73" s="10" t="s">
        <v>5</v>
      </c>
      <c r="C73" s="23" t="s">
        <v>132</v>
      </c>
      <c r="D73" s="24" t="s">
        <v>133</v>
      </c>
      <c r="E73" s="19">
        <f>4.085-0.103-0.273-0.274-0.055-0.218-0.33-0.309-0.053-0.34-0.111-0.222-0.279-1.206-0.055-0.056-0.055</f>
        <v>0.14599999999999941</v>
      </c>
    </row>
    <row r="74" spans="1:5" ht="34">
      <c r="A74" s="5" t="s">
        <v>62</v>
      </c>
      <c r="B74" s="10" t="s">
        <v>5</v>
      </c>
      <c r="C74" s="23" t="s">
        <v>132</v>
      </c>
      <c r="D74" s="24" t="s">
        <v>133</v>
      </c>
      <c r="E74" s="19">
        <f>5.255-1.045-3.755</f>
        <v>0.45500000000000007</v>
      </c>
    </row>
    <row r="75" spans="1:5" ht="34">
      <c r="A75" s="5" t="s">
        <v>62</v>
      </c>
      <c r="B75" s="10" t="s">
        <v>5</v>
      </c>
      <c r="C75" s="23" t="s">
        <v>134</v>
      </c>
      <c r="D75" s="24" t="s">
        <v>135</v>
      </c>
      <c r="E75" s="19">
        <f>3.2-0.696-(0.008)-0.065-1.883-0.512+(0.024)</f>
        <v>6.0000000000000477E-2</v>
      </c>
    </row>
    <row r="76" spans="1:5" ht="34">
      <c r="A76" s="5" t="s">
        <v>62</v>
      </c>
      <c r="B76" s="10" t="s">
        <v>5</v>
      </c>
      <c r="C76" s="23" t="s">
        <v>132</v>
      </c>
      <c r="D76" s="24" t="s">
        <v>135</v>
      </c>
      <c r="E76" s="19">
        <f>5.07-0.994-0.692-0.618-0.63-2.013</f>
        <v>0.12300000000000066</v>
      </c>
    </row>
    <row r="77" spans="1:5" ht="34">
      <c r="A77" s="5" t="s">
        <v>62</v>
      </c>
      <c r="B77" s="10" t="s">
        <v>5</v>
      </c>
      <c r="C77" s="23" t="s">
        <v>136</v>
      </c>
      <c r="D77" s="24" t="s">
        <v>135</v>
      </c>
      <c r="E77" s="19">
        <f>5.19-1.022-0.576-3</f>
        <v>0.59200000000000008</v>
      </c>
    </row>
    <row r="78" spans="1:5" ht="34">
      <c r="A78" s="5" t="s">
        <v>62</v>
      </c>
      <c r="B78" s="10" t="s">
        <v>5</v>
      </c>
      <c r="C78" s="23" t="s">
        <v>134</v>
      </c>
      <c r="D78" s="24" t="s">
        <v>137</v>
      </c>
      <c r="E78" s="19">
        <f>1.16-0.077-0.926</f>
        <v>0.15699999999999992</v>
      </c>
    </row>
    <row r="79" spans="1:5" ht="34">
      <c r="A79" s="5" t="s">
        <v>62</v>
      </c>
      <c r="B79" s="10" t="s">
        <v>5</v>
      </c>
      <c r="C79" s="23" t="s">
        <v>132</v>
      </c>
      <c r="D79" s="24" t="s">
        <v>137</v>
      </c>
      <c r="E79" s="19">
        <f>5.14-1.48-3.436</f>
        <v>0.22399999999999975</v>
      </c>
    </row>
    <row r="80" spans="1:5" ht="34">
      <c r="A80" s="5" t="s">
        <v>62</v>
      </c>
      <c r="B80" s="10" t="s">
        <v>5</v>
      </c>
      <c r="C80" s="23" t="s">
        <v>132</v>
      </c>
      <c r="D80" s="24" t="s">
        <v>137</v>
      </c>
      <c r="E80" s="19">
        <f>5.285-2.051-2</f>
        <v>1.234</v>
      </c>
    </row>
    <row r="81" spans="1:5" ht="34">
      <c r="A81" s="5" t="s">
        <v>62</v>
      </c>
      <c r="B81" s="9" t="s">
        <v>7</v>
      </c>
      <c r="C81" s="21" t="s">
        <v>129</v>
      </c>
      <c r="D81" s="14" t="s">
        <v>138</v>
      </c>
      <c r="E81" s="16">
        <f>1.522-0.03-0.03-0.03-0.03-0.03</f>
        <v>1.3719999999999999</v>
      </c>
    </row>
    <row r="82" spans="1:5" ht="34">
      <c r="A82" s="5" t="s">
        <v>62</v>
      </c>
      <c r="B82" s="9" t="s">
        <v>7</v>
      </c>
      <c r="C82" s="21" t="s">
        <v>129</v>
      </c>
      <c r="D82" s="14" t="s">
        <v>139</v>
      </c>
      <c r="E82" s="16">
        <f>1.522-0.077-0.039-0.039</f>
        <v>1.3670000000000002</v>
      </c>
    </row>
    <row r="83" spans="1:5" ht="34">
      <c r="A83" s="5" t="s">
        <v>62</v>
      </c>
      <c r="B83" s="8" t="s">
        <v>45</v>
      </c>
      <c r="C83" s="14" t="s">
        <v>140</v>
      </c>
      <c r="D83" s="14" t="s">
        <v>141</v>
      </c>
      <c r="E83" s="15">
        <f>8.03-3.03-0.015-0.063-0.015-0.029-0.214-1.002</f>
        <v>3.6620000000000008</v>
      </c>
    </row>
    <row r="84" spans="1:5" ht="34">
      <c r="A84" s="5" t="s">
        <v>62</v>
      </c>
      <c r="B84" s="8" t="s">
        <v>41</v>
      </c>
      <c r="C84" s="14" t="s">
        <v>140</v>
      </c>
      <c r="D84" s="14" t="s">
        <v>102</v>
      </c>
      <c r="E84" s="15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5" spans="1:5" ht="34">
      <c r="A85" s="5" t="s">
        <v>62</v>
      </c>
      <c r="B85" s="8" t="s">
        <v>41</v>
      </c>
      <c r="C85" s="14" t="s">
        <v>140</v>
      </c>
      <c r="D85" s="14" t="s">
        <v>102</v>
      </c>
      <c r="E85" s="15">
        <f>0.871</f>
        <v>0.871</v>
      </c>
    </row>
    <row r="86" spans="1:5" ht="34">
      <c r="A86" s="5" t="s">
        <v>62</v>
      </c>
      <c r="B86" s="9" t="s">
        <v>47</v>
      </c>
      <c r="C86" s="26" t="s">
        <v>140</v>
      </c>
      <c r="D86" s="27" t="s">
        <v>142</v>
      </c>
      <c r="E86" s="19">
        <f>0.338-0.316</f>
        <v>2.200000000000002E-2</v>
      </c>
    </row>
    <row r="87" spans="1:5" ht="34">
      <c r="A87" s="5" t="s">
        <v>62</v>
      </c>
      <c r="B87" s="9" t="s">
        <v>47</v>
      </c>
      <c r="C87" s="26" t="s">
        <v>140</v>
      </c>
      <c r="D87" s="27" t="s">
        <v>142</v>
      </c>
      <c r="E87" s="25">
        <f>4.62-0.463-0.614-0.013-0.102-0.039-0.482-0.013-0.13-0.051-0.013-0.266-0.013-0.039-0.05-0.013-0.013-0.013-0.05-0.101-0.702-0.026-0.063-0.013-0.508-0.013-0.013-0.089-0.102-0.076-0.038-0.102-0.038-0.039-0.024-0.039-0.052-0.09-0.013</f>
        <v>0.10200000000000113</v>
      </c>
    </row>
    <row r="88" spans="1:5" ht="34">
      <c r="A88" s="5" t="s">
        <v>62</v>
      </c>
      <c r="B88" s="9" t="s">
        <v>47</v>
      </c>
      <c r="C88" s="26" t="s">
        <v>140</v>
      </c>
      <c r="D88" s="27" t="s">
        <v>142</v>
      </c>
      <c r="E88" s="25">
        <f>4.11-0.854-0.353-0.025-0.075-0.312-0.702</f>
        <v>1.7890000000000006</v>
      </c>
    </row>
    <row r="89" spans="1:5" ht="34">
      <c r="A89" s="5" t="s">
        <v>62</v>
      </c>
      <c r="B89" s="9" t="s">
        <v>47</v>
      </c>
      <c r="C89" s="26" t="s">
        <v>140</v>
      </c>
      <c r="D89" s="27" t="s">
        <v>142</v>
      </c>
      <c r="E89" s="25">
        <f>7.79</f>
        <v>7.79</v>
      </c>
    </row>
    <row r="90" spans="1:5" ht="34">
      <c r="A90" s="5" t="s">
        <v>62</v>
      </c>
      <c r="B90" s="9" t="s">
        <v>47</v>
      </c>
      <c r="C90" s="26" t="s">
        <v>140</v>
      </c>
      <c r="D90" s="27" t="s">
        <v>143</v>
      </c>
      <c r="E90" s="25">
        <f>24.29-5.02-0.198-0.02-0.019-1.2-0.6-0.099-2.978-0.279-0.694-0.998-1.502-0.04-0.36-1.002-0.139-0.198-0.02-0.18-0.02-0.04-0.52-0.059-0.996-0.4-0.12-0.04-0.04-0.02-0.02-0.04-0.02-0.059-0.04-0.06-1.002-0.498-0.04-0.02-0.399-0.6-0.04-0.04-1.5-0.04</f>
        <v>2.0710000000000046</v>
      </c>
    </row>
    <row r="91" spans="1:5" ht="34">
      <c r="A91" s="5" t="s">
        <v>62</v>
      </c>
      <c r="B91" s="9" t="s">
        <v>47</v>
      </c>
      <c r="C91" s="26" t="s">
        <v>140</v>
      </c>
      <c r="D91" s="27" t="s">
        <v>118</v>
      </c>
      <c r="E91" s="19">
        <f>9.57-3.004-0.316-0.025-0.095-0.169-2.986-0.144-0.048-0.025-0.025-0.025-0.025-0.025-0.994-0.726-0.291-0.508-0.025</f>
        <v>0.11400000000000135</v>
      </c>
    </row>
    <row r="92" spans="1:5" ht="34">
      <c r="A92" s="5" t="s">
        <v>62</v>
      </c>
      <c r="B92" s="9" t="s">
        <v>47</v>
      </c>
      <c r="C92" s="26" t="s">
        <v>140</v>
      </c>
      <c r="D92" s="27" t="s">
        <v>118</v>
      </c>
      <c r="E92" s="19">
        <f>11.05-0.049-0.493-0.025-0.122-0.294-0.494-1.01-0.124-0.049-0.198-0.074-0.025-0.05-3.63-3</f>
        <v>1.4129999999999994</v>
      </c>
    </row>
    <row r="93" spans="1:5" ht="34">
      <c r="A93" s="5" t="s">
        <v>62</v>
      </c>
      <c r="B93" s="9" t="s">
        <v>47</v>
      </c>
      <c r="C93" s="26" t="s">
        <v>140</v>
      </c>
      <c r="D93" s="27" t="s">
        <v>144</v>
      </c>
      <c r="E93" s="19">
        <f>9.49-0.91-0.03-0.148-0.176-2.834-0.175-0.086-0.6</f>
        <v>4.5310000000000015</v>
      </c>
    </row>
    <row r="94" spans="1:5" ht="34">
      <c r="A94" s="5" t="s">
        <v>62</v>
      </c>
      <c r="B94" s="9" t="s">
        <v>47</v>
      </c>
      <c r="C94" s="26" t="s">
        <v>140</v>
      </c>
      <c r="D94" s="27" t="s">
        <v>102</v>
      </c>
      <c r="E94" s="19">
        <f>9.57-0.112-0.37-0.073-0.512-0.328-0.037-0.73-0.804-0.037-0.802-0.037-0.146-1.252-0.073-0.037-0.073-0.328-2.052-0.22-1.505</f>
        <v>4.1999999999998705E-2</v>
      </c>
    </row>
    <row r="95" spans="1:5" ht="34">
      <c r="A95" s="5" t="s">
        <v>62</v>
      </c>
      <c r="B95" s="9" t="s">
        <v>47</v>
      </c>
      <c r="C95" s="26" t="s">
        <v>140</v>
      </c>
      <c r="D95" s="27" t="s">
        <v>145</v>
      </c>
      <c r="E95" s="25">
        <f>12.37-8.71-0.197-0.198-0.158-0.314-0.394-0.796-0.514-0.08-0.118-0.197-0.04-0.394-0.118-0.04-0.078</f>
        <v>2.399999999999812E-2</v>
      </c>
    </row>
    <row r="96" spans="1:5" ht="34">
      <c r="A96" s="5" t="s">
        <v>62</v>
      </c>
      <c r="B96" s="9" t="s">
        <v>47</v>
      </c>
      <c r="C96" s="26" t="s">
        <v>140</v>
      </c>
      <c r="D96" s="27" t="s">
        <v>145</v>
      </c>
      <c r="E96" s="25">
        <f>13.35-0.079-0.119-0.873-0.198-0.118-0.746-1.244-0.79-0.157-0.117-0.12-0.04-0.475-4.51</f>
        <v>3.7640000000000011</v>
      </c>
    </row>
    <row r="97" spans="1:5" ht="34">
      <c r="A97" s="5" t="s">
        <v>62</v>
      </c>
      <c r="B97" s="9" t="s">
        <v>47</v>
      </c>
      <c r="C97" s="26" t="s">
        <v>140</v>
      </c>
      <c r="D97" s="27" t="s">
        <v>105</v>
      </c>
      <c r="E97" s="19">
        <f>9.61-3.226-1.172-0.497-0.6-0.49-0.049-0.146-0.59-0.244-0.978-0.683-0.243-0.147-0.049-0.438</f>
        <v>5.8000000000000052E-2</v>
      </c>
    </row>
    <row r="98" spans="1:5" ht="34">
      <c r="A98" s="5" t="s">
        <v>62</v>
      </c>
      <c r="B98" s="9" t="s">
        <v>47</v>
      </c>
      <c r="C98" s="26" t="s">
        <v>140</v>
      </c>
      <c r="D98" s="27" t="s">
        <v>105</v>
      </c>
      <c r="E98" s="19">
        <f>9.75-0.588-0.1-0.196-0.65-0.049-0.148-0.098-0.148-0.49-0.493-0.049-0.099-0.196-0.492-0.05-0.1-0.397-0.048-1.524-0.146-0.1-0.197-0.736-0.838-0.049-0.88-0.05-0.738</f>
        <v>0.10100000000000142</v>
      </c>
    </row>
    <row r="99" spans="1:5" ht="34">
      <c r="A99" s="5" t="s">
        <v>62</v>
      </c>
      <c r="B99" s="9" t="s">
        <v>47</v>
      </c>
      <c r="C99" s="26" t="s">
        <v>140</v>
      </c>
      <c r="D99" s="27" t="s">
        <v>105</v>
      </c>
      <c r="E99" s="19">
        <f>3.96-1.81-0.634</f>
        <v>1.516</v>
      </c>
    </row>
    <row r="100" spans="1:5" ht="34">
      <c r="A100" s="5" t="s">
        <v>62</v>
      </c>
      <c r="B100" s="9" t="s">
        <v>47</v>
      </c>
      <c r="C100" s="26" t="s">
        <v>140</v>
      </c>
      <c r="D100" s="27" t="s">
        <v>146</v>
      </c>
      <c r="E100" s="19">
        <f>11.08-0.075-0.75-0.075-1.042-0.148-0.075-0.518-0.074-0.148-0.296-0.521-3</f>
        <v>4.3580000000000023</v>
      </c>
    </row>
    <row r="101" spans="1:5" ht="34">
      <c r="A101" s="5" t="s">
        <v>62</v>
      </c>
      <c r="B101" s="9" t="s">
        <v>13</v>
      </c>
      <c r="C101" s="26" t="s">
        <v>140</v>
      </c>
      <c r="D101" s="27" t="s">
        <v>142</v>
      </c>
      <c r="E101" s="25">
        <f>1.206-0.013-0.026-0.013-0.013-0.062-0.123-0.037-0.026-0.026-0.013-0.013-0.012-0.026-0.013</f>
        <v>0.79</v>
      </c>
    </row>
    <row r="102" spans="1:5" ht="34">
      <c r="A102" s="5" t="s">
        <v>62</v>
      </c>
      <c r="B102" s="9" t="s">
        <v>13</v>
      </c>
      <c r="C102" s="26" t="s">
        <v>140</v>
      </c>
      <c r="D102" s="27" t="s">
        <v>142</v>
      </c>
      <c r="E102" s="19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-0.221</f>
        <v>7.1000000000006752E-2</v>
      </c>
    </row>
    <row r="103" spans="1:5" ht="34">
      <c r="A103" s="5" t="s">
        <v>62</v>
      </c>
      <c r="B103" s="9" t="s">
        <v>13</v>
      </c>
      <c r="C103" s="26" t="s">
        <v>140</v>
      </c>
      <c r="D103" s="27" t="s">
        <v>141</v>
      </c>
      <c r="E103" s="25">
        <f>9.02-0.015-0.03-0.058-0.508-0.104-0.104-0.306-0.073-0.03-0.492-0.015-0.508-0.248-0.508-0.029-0.03-0.028-0.015-0.03</f>
        <v>5.8890000000000002</v>
      </c>
    </row>
    <row r="104" spans="1:5" ht="34">
      <c r="A104" s="5" t="s">
        <v>62</v>
      </c>
      <c r="B104" s="9" t="s">
        <v>13</v>
      </c>
      <c r="C104" s="26" t="s">
        <v>140</v>
      </c>
      <c r="D104" s="27" t="s">
        <v>147</v>
      </c>
      <c r="E104" s="25">
        <f>9.52-4.98-0.995-0.104-2-0.072-0.018-0.508-0.296-0.018-0.018-0.209</f>
        <v>0.30199999999999882</v>
      </c>
    </row>
    <row r="105" spans="1:5" ht="34">
      <c r="A105" s="5" t="s">
        <v>62</v>
      </c>
      <c r="B105" s="9" t="s">
        <v>13</v>
      </c>
      <c r="C105" s="26" t="s">
        <v>148</v>
      </c>
      <c r="D105" s="27" t="s">
        <v>149</v>
      </c>
      <c r="E105" s="19">
        <f>2.345-2.005-0.008-0.04-0.008-0.023-0.016-0.079-0.008-0.141+(0.007)</f>
        <v>2.4000000000000264E-2</v>
      </c>
    </row>
    <row r="106" spans="1:5" ht="34">
      <c r="A106" s="5" t="s">
        <v>62</v>
      </c>
      <c r="B106" s="9" t="s">
        <v>13</v>
      </c>
      <c r="C106" s="26" t="s">
        <v>140</v>
      </c>
      <c r="D106" s="27" t="s">
        <v>143</v>
      </c>
      <c r="E106" s="25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</f>
        <v>0.52400000000000291</v>
      </c>
    </row>
    <row r="107" spans="1:5" ht="34">
      <c r="A107" s="5" t="s">
        <v>62</v>
      </c>
      <c r="B107" s="9" t="s">
        <v>13</v>
      </c>
      <c r="C107" s="26" t="s">
        <v>140</v>
      </c>
      <c r="D107" s="27" t="s">
        <v>143</v>
      </c>
      <c r="E107" s="25">
        <f>23.91-0.158-4.056-1.706-0.1-0.299-2.502-0.098-0.12-14</f>
        <v>0.87099999999999866</v>
      </c>
    </row>
    <row r="108" spans="1:5" ht="34">
      <c r="A108" s="5" t="s">
        <v>62</v>
      </c>
      <c r="B108" s="9" t="s">
        <v>13</v>
      </c>
      <c r="C108" s="23" t="s">
        <v>140</v>
      </c>
      <c r="D108" s="27" t="s">
        <v>150</v>
      </c>
      <c r="E108" s="19">
        <f>22.39-4.72-9.3-0.025-0.146-0.025-0.123-0.124-0.125-0.049-0.524-0.025-0.898-0.1-0.025-0.025-0.1-0.025-0.198-0.101-0.097-0.025-0.025-0.996-0.1-0.025-0.496-0.298-0.498-0.996+(0.996)-0.15-0.075-0.822-0.15-0.397-0.398-0.449-0.3-0.124-0.148</f>
        <v>0.15899999999999878</v>
      </c>
    </row>
    <row r="109" spans="1:5" ht="34">
      <c r="A109" s="5" t="s">
        <v>62</v>
      </c>
      <c r="B109" s="9" t="s">
        <v>13</v>
      </c>
      <c r="C109" s="23" t="s">
        <v>140</v>
      </c>
      <c r="D109" s="27" t="s">
        <v>150</v>
      </c>
      <c r="E109" s="19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0" spans="1:5" ht="34">
      <c r="A110" s="5" t="s">
        <v>62</v>
      </c>
      <c r="B110" s="9" t="s">
        <v>13</v>
      </c>
      <c r="C110" s="23" t="s">
        <v>140</v>
      </c>
      <c r="D110" s="27" t="s">
        <v>150</v>
      </c>
      <c r="E110" s="19">
        <f>23.72-5-5.07-3.77-0.123-0.3-0.025-0.15-0.025-0.025-0.05-0.15-0.075-0.076-0.501-0.15-0.22-0.25-0.025-4.95-1.95-0.05-0.124-0.148-0.025-0.05-0.1-0.025-0.025-0.025-0.025-0.025-0.025-0.074-0.025-0.05-0.025</f>
        <v>1.3999999999995578E-2</v>
      </c>
    </row>
    <row r="111" spans="1:5" ht="34">
      <c r="A111" s="5" t="s">
        <v>62</v>
      </c>
      <c r="B111" s="9" t="s">
        <v>13</v>
      </c>
      <c r="C111" s="23" t="s">
        <v>140</v>
      </c>
      <c r="D111" s="27" t="s">
        <v>150</v>
      </c>
      <c r="E111" s="19">
        <f>19.57-9.8-7.006-0.713-0.098-0.05-0.148-0.025-0.098-0.074-0.688-0.098-0.049-0.099-0.246-0.025-0.22-0.025-0.025</f>
        <v>8.2999999999999213E-2</v>
      </c>
    </row>
    <row r="112" spans="1:5" ht="34">
      <c r="A112" s="5" t="s">
        <v>62</v>
      </c>
      <c r="B112" s="9" t="s">
        <v>13</v>
      </c>
      <c r="C112" s="23" t="s">
        <v>140</v>
      </c>
      <c r="D112" s="27" t="s">
        <v>150</v>
      </c>
      <c r="E112" s="19">
        <f>11.42-4.69-0.025-2.01-0.988-1.5-0.418-0.493-0.1-0.05-0.172-0.198-0.025-0.099-0.05</f>
        <v>0.60199999999999931</v>
      </c>
    </row>
    <row r="113" spans="1:5" ht="34">
      <c r="A113" s="5" t="s">
        <v>62</v>
      </c>
      <c r="B113" s="9" t="s">
        <v>13</v>
      </c>
      <c r="C113" s="23" t="s">
        <v>140</v>
      </c>
      <c r="D113" s="27" t="s">
        <v>150</v>
      </c>
      <c r="E113" s="19">
        <f>23.63-2.412-0.35-1-16.218</f>
        <v>3.6499999999999986</v>
      </c>
    </row>
    <row r="114" spans="1:5" ht="34">
      <c r="A114" s="5" t="s">
        <v>62</v>
      </c>
      <c r="B114" s="9" t="s">
        <v>13</v>
      </c>
      <c r="C114" s="23" t="s">
        <v>140</v>
      </c>
      <c r="D114" s="27" t="s">
        <v>144</v>
      </c>
      <c r="E114" s="19">
        <f>5.22-1.13-0.2-0.03-0.145-0.144-0.03-0.492-0.204-1.1-1.042-0.232-0.318-0.118</f>
        <v>3.4999999999999643E-2</v>
      </c>
    </row>
    <row r="115" spans="1:5" ht="34">
      <c r="A115" s="5" t="s">
        <v>62</v>
      </c>
      <c r="B115" s="9" t="s">
        <v>13</v>
      </c>
      <c r="C115" s="23" t="s">
        <v>140</v>
      </c>
      <c r="D115" s="27" t="s">
        <v>144</v>
      </c>
      <c r="E115" s="19">
        <f>19.98-0.5-0.09-0.03-0.12-0.18-0.03-0.09-0.03-0.179-0.091-0.06-0.508-0.208-0.776-0.15-0.508-0.03-0.06-0.03-0.956-0.148-0.988-0.03-0.09-2.405-0.508-0.06-0.03-0.209-0.805-0.808-0.03-0.03-0.03-0.09-8</f>
        <v>1.0930000000000089</v>
      </c>
    </row>
    <row r="116" spans="1:5" ht="34">
      <c r="A116" s="5" t="s">
        <v>62</v>
      </c>
      <c r="B116" s="9" t="s">
        <v>13</v>
      </c>
      <c r="C116" s="23" t="s">
        <v>140</v>
      </c>
      <c r="D116" s="27" t="s">
        <v>102</v>
      </c>
      <c r="E116" s="19">
        <f>19.86-0.692-0.434-0.111-0.988-0.073-7.006-1.9-0.986-0.22-2.702-0.037-0.584-0.693-0.182-2.584-0.218-0.037-0.037-0.037-0.108-0.037</f>
        <v>0.19399999999999804</v>
      </c>
    </row>
    <row r="117" spans="1:5" ht="34">
      <c r="A117" s="5" t="s">
        <v>62</v>
      </c>
      <c r="B117" s="9" t="s">
        <v>13</v>
      </c>
      <c r="C117" s="23" t="s">
        <v>140</v>
      </c>
      <c r="D117" s="27" t="s">
        <v>102</v>
      </c>
      <c r="E117" s="19">
        <f>24.23-0.486-2.21-2-1.044-0.52-0.148-0.296-0.786-1.003-0.037-0.037-1.5-0.074-0.523-0.037-0.148-0.973-1.834-0.111-0.037-0.368-0.075-0.6-0.037-4.35-0.037-0.486-3-0.075-0.037-0.037-0.6-0.703</f>
        <v>2.0999999999995689E-2</v>
      </c>
    </row>
    <row r="118" spans="1:5" ht="34">
      <c r="A118" s="5" t="s">
        <v>62</v>
      </c>
      <c r="B118" s="9" t="s">
        <v>13</v>
      </c>
      <c r="C118" s="23" t="s">
        <v>140</v>
      </c>
      <c r="D118" s="23" t="s">
        <v>102</v>
      </c>
      <c r="E118" s="19">
        <f>23.76-16.38-1.1-1.816-0.524-0.374-0.112-3</f>
        <v>0.45400000000000285</v>
      </c>
    </row>
    <row r="119" spans="1:5" ht="34">
      <c r="A119" s="5" t="s">
        <v>62</v>
      </c>
      <c r="B119" s="9" t="s">
        <v>13</v>
      </c>
      <c r="C119" s="23" t="s">
        <v>140</v>
      </c>
      <c r="D119" s="27" t="s">
        <v>145</v>
      </c>
      <c r="E119" s="19">
        <f>4.77-0.52-0.159-0.239-0.04-0.04-0.08-0.16-0.12-0.319-0.04-(0.013)-0.12-2.727-0.119-0.04</f>
        <v>3.4000000000000065E-2</v>
      </c>
    </row>
    <row r="120" spans="1:5" ht="34">
      <c r="A120" s="5" t="s">
        <v>62</v>
      </c>
      <c r="B120" s="9" t="s">
        <v>13</v>
      </c>
      <c r="C120" s="23" t="s">
        <v>140</v>
      </c>
      <c r="D120" s="27" t="s">
        <v>145</v>
      </c>
      <c r="E120" s="19">
        <f>8.08-0.04-0.394-0.079-0.04-0.04-0.04-0.04-0.04-0.752-0.119-0.118-0.04-0.078-0.119-0.594-0.079-0.119-2.098-0.04-0.04-1.708-0.04-0.04-0.318-0.238-0.039-0.04</f>
        <v>0.748000000000001</v>
      </c>
    </row>
    <row r="121" spans="1:5" ht="34">
      <c r="A121" s="5" t="s">
        <v>62</v>
      </c>
      <c r="B121" s="9" t="s">
        <v>13</v>
      </c>
      <c r="C121" s="23" t="s">
        <v>140</v>
      </c>
      <c r="D121" s="27" t="s">
        <v>145</v>
      </c>
      <c r="E121" s="19">
        <f>4.84</f>
        <v>4.84</v>
      </c>
    </row>
    <row r="122" spans="1:5" ht="34">
      <c r="A122" s="5" t="s">
        <v>62</v>
      </c>
      <c r="B122" s="9" t="s">
        <v>13</v>
      </c>
      <c r="C122" s="23" t="s">
        <v>140</v>
      </c>
      <c r="D122" s="27" t="s">
        <v>151</v>
      </c>
      <c r="E122" s="19">
        <f>1.594-0.099-0.048-0.05-0.05-0.05-0.099-0.049</f>
        <v>1.149</v>
      </c>
    </row>
    <row r="123" spans="1:5" ht="34">
      <c r="A123" s="5" t="s">
        <v>62</v>
      </c>
      <c r="B123" s="9" t="s">
        <v>13</v>
      </c>
      <c r="C123" s="23" t="s">
        <v>140</v>
      </c>
      <c r="D123" s="27" t="s">
        <v>151</v>
      </c>
      <c r="E123" s="19">
        <f>23.61-9.55-0.994-0.298-0.198-0.1-0.05-0.1-0.5-0.698-4.69-1.64-0.7-0.15-0.049-0.997-0.05-0.249-0.15-0.249-0.35-0.5-0.149-0.05-0.498-0.546</f>
        <v>0.10499999999999798</v>
      </c>
    </row>
    <row r="124" spans="1:5" ht="34">
      <c r="A124" s="5" t="s">
        <v>62</v>
      </c>
      <c r="B124" s="9" t="s">
        <v>13</v>
      </c>
      <c r="C124" s="23" t="s">
        <v>140</v>
      </c>
      <c r="D124" s="27" t="s">
        <v>151</v>
      </c>
      <c r="E124" s="19">
        <f>24-0.648-0.049-0.498-0.498-0.05-0.6-0.795-2.227-1.344-0.298-0.05-0.449-10.626-0.05-0.894-0.1-0.496-0.05-0.1-0.049-0.297-0.342-0.447-0.05-0.945-0.1-0.249-0.199-0.15-0.3-0.145-0.05-0.45</f>
        <v>0.40499999999999398</v>
      </c>
    </row>
    <row r="125" spans="1:5" ht="34">
      <c r="A125" s="5" t="s">
        <v>62</v>
      </c>
      <c r="B125" s="9" t="s">
        <v>13</v>
      </c>
      <c r="C125" s="23" t="s">
        <v>140</v>
      </c>
      <c r="D125" s="27" t="s">
        <v>151</v>
      </c>
      <c r="E125" s="19">
        <f>22.38-1-19</f>
        <v>2.379999999999999</v>
      </c>
    </row>
    <row r="126" spans="1:5" ht="34">
      <c r="A126" s="5" t="s">
        <v>62</v>
      </c>
      <c r="B126" s="9" t="s">
        <v>13</v>
      </c>
      <c r="C126" s="23" t="s">
        <v>140</v>
      </c>
      <c r="D126" s="27" t="s">
        <v>152</v>
      </c>
      <c r="E126" s="19">
        <f>8.55-3.76-0.185-2.528-0.061-0.248-0.061-0.062-0.062-0.492-0.122-0.425-0.064-0.061-0.31-0.061</f>
        <v>4.8000000000001375E-2</v>
      </c>
    </row>
    <row r="127" spans="1:5" ht="34">
      <c r="A127" s="5" t="s">
        <v>62</v>
      </c>
      <c r="B127" s="9" t="s">
        <v>13</v>
      </c>
      <c r="C127" s="23" t="s">
        <v>140</v>
      </c>
      <c r="D127" s="27" t="s">
        <v>152</v>
      </c>
      <c r="E127" s="19">
        <f>23.43-0.624-0.624-0.124-0.062-0.062-0.062-0.437-0.062-18.44-0.312-0.062-0.063-2</f>
        <v>0.49599999999999644</v>
      </c>
    </row>
    <row r="128" spans="1:5" ht="34">
      <c r="A128" s="5" t="s">
        <v>62</v>
      </c>
      <c r="B128" s="9" t="s">
        <v>13</v>
      </c>
      <c r="C128" s="23" t="s">
        <v>140</v>
      </c>
      <c r="D128" s="27" t="s">
        <v>153</v>
      </c>
      <c r="E128" s="19">
        <f>22.94-9.65-9.13-0.297-0.822-0.074-0.52-0.296-0.15-0.966-0.075-0.816</f>
        <v>0.14400000000000046</v>
      </c>
    </row>
    <row r="129" spans="1:5" ht="34">
      <c r="A129" s="5" t="s">
        <v>62</v>
      </c>
      <c r="B129" s="9" t="s">
        <v>13</v>
      </c>
      <c r="C129" s="23" t="s">
        <v>140</v>
      </c>
      <c r="D129" s="27" t="s">
        <v>153</v>
      </c>
      <c r="E129" s="19">
        <f>20.92-4.746-4.22-4.24-0.223-4.38-1.19-0.446-0.37-0.891-0.148</f>
        <v>6.6000000000000864E-2</v>
      </c>
    </row>
    <row r="130" spans="1:5" ht="34">
      <c r="A130" s="5" t="s">
        <v>62</v>
      </c>
      <c r="B130" s="9" t="s">
        <v>13</v>
      </c>
      <c r="C130" s="23" t="s">
        <v>140</v>
      </c>
      <c r="D130" s="27" t="s">
        <v>153</v>
      </c>
      <c r="E130" s="19">
        <f>2.098-0.075</f>
        <v>2.0229999999999997</v>
      </c>
    </row>
    <row r="131" spans="1:5" ht="34">
      <c r="A131" s="5" t="s">
        <v>62</v>
      </c>
      <c r="B131" s="9" t="s">
        <v>13</v>
      </c>
      <c r="C131" s="23" t="s">
        <v>140</v>
      </c>
      <c r="D131" s="27" t="s">
        <v>153</v>
      </c>
      <c r="E131" s="19">
        <f>21.57-3.36-0.149-0.15-1.266-0.224-0.97-0.15-0.075-0.075-0.3-14</f>
        <v>0.85100000000000264</v>
      </c>
    </row>
    <row r="132" spans="1:5" ht="34">
      <c r="A132" s="5" t="s">
        <v>62</v>
      </c>
      <c r="B132" s="11" t="s">
        <v>16</v>
      </c>
      <c r="C132" s="14" t="s">
        <v>154</v>
      </c>
      <c r="D132" s="14" t="s">
        <v>155</v>
      </c>
      <c r="E132" s="16">
        <f>2.824-0.5-0.101-0.051-0.006-0.3-0.101-0.003-0.003-0.099-0.003-0.003-0.003</f>
        <v>1.6510000000000005</v>
      </c>
    </row>
    <row r="133" spans="1:5" ht="34">
      <c r="A133" s="5" t="s">
        <v>62</v>
      </c>
      <c r="B133" s="11" t="s">
        <v>16</v>
      </c>
      <c r="C133" s="21" t="s">
        <v>156</v>
      </c>
      <c r="D133" s="14" t="s">
        <v>157</v>
      </c>
      <c r="E133" s="16">
        <f>0.22-0.159</f>
        <v>6.0999999999999999E-2</v>
      </c>
    </row>
    <row r="134" spans="1:5" ht="34">
      <c r="A134" s="5" t="s">
        <v>62</v>
      </c>
      <c r="B134" s="11" t="s">
        <v>16</v>
      </c>
      <c r="C134" s="21" t="s">
        <v>156</v>
      </c>
      <c r="D134" s="14" t="s">
        <v>158</v>
      </c>
      <c r="E134" s="16">
        <f>1.03-0.012-0.53-0.036-0.012-0.013-0.012</f>
        <v>0.41499999999999998</v>
      </c>
    </row>
    <row r="135" spans="1:5" ht="34">
      <c r="A135" s="5" t="s">
        <v>62</v>
      </c>
      <c r="B135" s="11" t="s">
        <v>16</v>
      </c>
      <c r="C135" s="23" t="s">
        <v>159</v>
      </c>
      <c r="D135" s="28" t="s">
        <v>160</v>
      </c>
      <c r="E135" s="19">
        <f>1.007-0.5-0.019</f>
        <v>0.48799999999999988</v>
      </c>
    </row>
    <row r="136" spans="1:5" ht="34">
      <c r="A136" s="5" t="s">
        <v>62</v>
      </c>
      <c r="B136" s="11" t="s">
        <v>16</v>
      </c>
      <c r="C136" s="21" t="s">
        <v>161</v>
      </c>
      <c r="D136" s="14" t="s">
        <v>162</v>
      </c>
      <c r="E136" s="16">
        <f>4.86-0.016-2.125-0.718-0.016-0.016-0.112-0.081-0.032-0.934-0.788</f>
        <v>2.2000000000000131E-2</v>
      </c>
    </row>
    <row r="137" spans="1:5" ht="34">
      <c r="A137" s="5" t="s">
        <v>62</v>
      </c>
      <c r="B137" s="11" t="s">
        <v>16</v>
      </c>
      <c r="C137" s="23" t="s">
        <v>159</v>
      </c>
      <c r="D137" s="23" t="s">
        <v>163</v>
      </c>
      <c r="E137" s="19">
        <f>18.03-0.094-1.004-0.85-1.2-14</f>
        <v>0.8819999999999979</v>
      </c>
    </row>
    <row r="138" spans="1:5" ht="34">
      <c r="A138" s="5" t="s">
        <v>62</v>
      </c>
      <c r="B138" s="11" t="s">
        <v>16</v>
      </c>
      <c r="C138" s="21" t="s">
        <v>164</v>
      </c>
      <c r="D138" s="14" t="s">
        <v>165</v>
      </c>
      <c r="E138" s="16">
        <f>3.19-0.266-0.121-0.024-1.636-0.446-0.048-0.024-0.094-0.048-0.29-0.094-0.024-0.048</f>
        <v>2.7000000000000066E-2</v>
      </c>
    </row>
    <row r="139" spans="1:5" ht="34">
      <c r="A139" s="5" t="s">
        <v>62</v>
      </c>
      <c r="B139" s="11" t="s">
        <v>16</v>
      </c>
      <c r="C139" s="21" t="s">
        <v>164</v>
      </c>
      <c r="D139" s="14" t="s">
        <v>165</v>
      </c>
      <c r="E139" s="16">
        <f>0.995-0.07-0.024-0.118-0.288-0.21-0.048</f>
        <v>0.23700000000000004</v>
      </c>
    </row>
    <row r="140" spans="1:5" ht="34">
      <c r="A140" s="5" t="s">
        <v>62</v>
      </c>
      <c r="B140" s="11" t="s">
        <v>16</v>
      </c>
      <c r="C140" s="21" t="s">
        <v>164</v>
      </c>
      <c r="D140" s="14" t="s">
        <v>165</v>
      </c>
      <c r="E140" s="16">
        <f>1.81-1.2</f>
        <v>0.6100000000000001</v>
      </c>
    </row>
    <row r="141" spans="1:5" ht="34">
      <c r="A141" s="5" t="s">
        <v>62</v>
      </c>
      <c r="B141" s="11" t="s">
        <v>16</v>
      </c>
      <c r="C141" s="23" t="s">
        <v>159</v>
      </c>
      <c r="D141" s="28" t="s">
        <v>102</v>
      </c>
      <c r="E141" s="19">
        <f>1.03</f>
        <v>1.03</v>
      </c>
    </row>
    <row r="142" spans="1:5" ht="34">
      <c r="A142" s="5" t="s">
        <v>62</v>
      </c>
      <c r="B142" s="11" t="s">
        <v>16</v>
      </c>
      <c r="C142" s="23" t="s">
        <v>159</v>
      </c>
      <c r="D142" s="23" t="s">
        <v>105</v>
      </c>
      <c r="E142" s="19">
        <f>1.03-0.246-0.05-0.29-0.147-0.1</f>
        <v>0.19700000000000004</v>
      </c>
    </row>
    <row r="143" spans="1:5" ht="34">
      <c r="A143" s="5" t="s">
        <v>62</v>
      </c>
      <c r="B143" s="11" t="s">
        <v>16</v>
      </c>
      <c r="C143" s="23" t="s">
        <v>159</v>
      </c>
      <c r="D143" s="23" t="s">
        <v>105</v>
      </c>
      <c r="E143" s="19">
        <f>23.93-0.049-3-0.1-20</f>
        <v>0.78099999999999881</v>
      </c>
    </row>
    <row r="144" spans="1:5" ht="34">
      <c r="A144" s="5" t="s">
        <v>62</v>
      </c>
      <c r="B144" s="11" t="s">
        <v>16</v>
      </c>
      <c r="C144" s="21" t="s">
        <v>164</v>
      </c>
      <c r="D144" s="14" t="s">
        <v>166</v>
      </c>
      <c r="E144" s="15">
        <f>2.03-0.706-0.092-0.998-0.094-0.095</f>
        <v>4.4999999999999762E-2</v>
      </c>
    </row>
    <row r="145" spans="1:5" ht="34">
      <c r="A145" s="5" t="s">
        <v>62</v>
      </c>
      <c r="B145" s="11" t="s">
        <v>16</v>
      </c>
      <c r="C145" s="21" t="s">
        <v>164</v>
      </c>
      <c r="D145" s="14" t="s">
        <v>166</v>
      </c>
      <c r="E145" s="15">
        <f>5.212-0.19-0.096-0.048-0.24-0.048-0.048-0.333-0.048-1-0.048-0.188-0.048</f>
        <v>2.8769999999999984</v>
      </c>
    </row>
    <row r="146" spans="1:5" ht="34">
      <c r="A146" s="5" t="s">
        <v>62</v>
      </c>
      <c r="B146" s="9" t="s">
        <v>23</v>
      </c>
      <c r="C146" s="23" t="s">
        <v>167</v>
      </c>
      <c r="D146" s="28" t="s">
        <v>163</v>
      </c>
      <c r="E146" s="19">
        <f>21.81-6.57-0.598-0.036-0.464-3.74-3.84-3.542-(0.018)-0.019-0.019-0.094-0.207-0.019-0.206-0.205-0.206-0.205-0.019-0.057</f>
        <v>1.745999999999998</v>
      </c>
    </row>
    <row r="147" spans="1:5" ht="34">
      <c r="A147" s="5" t="s">
        <v>62</v>
      </c>
      <c r="B147" s="9" t="s">
        <v>9</v>
      </c>
      <c r="C147" s="23" t="s">
        <v>168</v>
      </c>
      <c r="D147" s="14" t="s">
        <v>169</v>
      </c>
      <c r="E147" s="16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</f>
        <v>2.2630000000000052</v>
      </c>
    </row>
    <row r="148" spans="1:5" ht="34">
      <c r="A148" s="5" t="s">
        <v>62</v>
      </c>
      <c r="B148" s="9" t="s">
        <v>9</v>
      </c>
      <c r="C148" s="23" t="s">
        <v>170</v>
      </c>
      <c r="D148" s="14" t="s">
        <v>118</v>
      </c>
      <c r="E148" s="16">
        <f>19.16-17</f>
        <v>2.16</v>
      </c>
    </row>
    <row r="149" spans="1:5" ht="34">
      <c r="A149" s="5" t="s">
        <v>62</v>
      </c>
      <c r="B149" s="10" t="s">
        <v>9</v>
      </c>
      <c r="C149" s="23" t="s">
        <v>168</v>
      </c>
      <c r="D149" s="14" t="s">
        <v>81</v>
      </c>
      <c r="E149" s="16">
        <f>8.678-0.304-0.009-1-0.206-0.009-0.018-0.009-0.036-0.074-0.083-0.165-0.091-0.018-0.09-0.033-0.009-0.017-0.017-0.036</f>
        <v>6.4539999999999988</v>
      </c>
    </row>
    <row r="150" spans="1:5" ht="34">
      <c r="A150" s="5" t="s">
        <v>62</v>
      </c>
      <c r="B150" s="9" t="s">
        <v>9</v>
      </c>
      <c r="C150" s="23" t="s">
        <v>170</v>
      </c>
      <c r="D150" s="21" t="s">
        <v>102</v>
      </c>
      <c r="E150" s="16">
        <f>23.23-0.525-0.113-0.037-0.075-0.338-0.298-0.074-0.075-0.075-0.113-0.113-0.076-0.037-0.073-0.037-20</f>
        <v>1.1710000000000065</v>
      </c>
    </row>
    <row r="151" spans="1:5" ht="34">
      <c r="A151" s="5" t="s">
        <v>62</v>
      </c>
      <c r="B151" s="9" t="s">
        <v>9</v>
      </c>
      <c r="C151" s="23" t="s">
        <v>168</v>
      </c>
      <c r="D151" s="28" t="s">
        <v>171</v>
      </c>
      <c r="E151" s="19">
        <f>7.856-0.03-1.102-0.03-0.03-0.015-0.069-0.03-0.03-0.015-0.056-0.045-0.055-0.154-0.069-0.604-0.315-0.056-0.042-0.11-0.055-0.096-0.056-0.015-0.014-0.014-0.11-0.014-0.054-0.042-0.028-0.028-0.014-0.055-0.055-0.014-0.508-0.014-0.014-0.014-0.014-0.014</f>
        <v>3.7570000000000001</v>
      </c>
    </row>
    <row r="152" spans="1:5" ht="34">
      <c r="A152" s="5" t="s">
        <v>62</v>
      </c>
      <c r="B152" s="9" t="s">
        <v>9</v>
      </c>
      <c r="C152" s="23" t="s">
        <v>170</v>
      </c>
      <c r="D152" s="28" t="s">
        <v>105</v>
      </c>
      <c r="E152" s="19">
        <f>21.1-0.149-0.1-0.1-0.048-0.05-0.1-0.1-0.302-0.1-0.05-0.05-0.15-0.2-18</f>
        <v>1.6009999999999955</v>
      </c>
    </row>
    <row r="153" spans="1:5" ht="34">
      <c r="A153" s="5" t="s">
        <v>62</v>
      </c>
      <c r="B153" s="9" t="s">
        <v>9</v>
      </c>
      <c r="C153" s="23" t="s">
        <v>170</v>
      </c>
      <c r="D153" s="28" t="s">
        <v>152</v>
      </c>
      <c r="E153" s="19">
        <f>23.88-0.186-20</f>
        <v>3.6939999999999991</v>
      </c>
    </row>
    <row r="154" spans="1:5" ht="34">
      <c r="A154" s="5" t="s">
        <v>62</v>
      </c>
      <c r="B154" s="9" t="s">
        <v>9</v>
      </c>
      <c r="C154" s="23" t="s">
        <v>168</v>
      </c>
      <c r="D154" s="28" t="s">
        <v>172</v>
      </c>
      <c r="E154" s="19">
        <f>4.49-0.022-0.022-1.014-0.998-0.044-1.02-1.206-0.062</f>
        <v>0.10199999999999926</v>
      </c>
    </row>
    <row r="155" spans="1:5" ht="34">
      <c r="A155" s="5" t="s">
        <v>62</v>
      </c>
      <c r="B155" s="9" t="s">
        <v>9</v>
      </c>
      <c r="C155" s="23" t="s">
        <v>168</v>
      </c>
      <c r="D155" s="28" t="s">
        <v>172</v>
      </c>
      <c r="E155" s="19">
        <f>4.456-0.105-0.166-0.209-1.2-0.206-0.313-0.416-0.022-0.022-0.044-1.614</f>
        <v>0.13899999999999957</v>
      </c>
    </row>
    <row r="156" spans="1:5" ht="34">
      <c r="A156" s="5" t="s">
        <v>62</v>
      </c>
      <c r="B156" s="9" t="s">
        <v>9</v>
      </c>
      <c r="C156" s="23" t="s">
        <v>170</v>
      </c>
      <c r="D156" s="28" t="s">
        <v>146</v>
      </c>
      <c r="E156" s="19">
        <f>18.47-0.15-0.074-0.075-0.528-0.075-0.15-0.075-0.15-0.2-0.45-15</f>
        <v>1.5430000000000064</v>
      </c>
    </row>
    <row r="157" spans="1:5" ht="34">
      <c r="A157" s="5" t="s">
        <v>62</v>
      </c>
      <c r="B157" s="9" t="s">
        <v>21</v>
      </c>
      <c r="C157" s="23" t="s">
        <v>173</v>
      </c>
      <c r="D157" s="14" t="s">
        <v>118</v>
      </c>
      <c r="E157" s="16">
        <f>7.07-0.096-0.292-4.974</f>
        <v>1.7080000000000002</v>
      </c>
    </row>
    <row r="158" spans="1:5" ht="51">
      <c r="A158" s="5" t="s">
        <v>63</v>
      </c>
      <c r="B158" s="10" t="s">
        <v>4</v>
      </c>
      <c r="C158" s="23" t="s">
        <v>204</v>
      </c>
      <c r="D158" s="23" t="s">
        <v>151</v>
      </c>
      <c r="E158" s="18">
        <f>20.74-0.05-2.002-0.198-0.248-0.102-0.596-0.515-1.003-0.398-0.048-0.049-0.099-0.049-1.005+(1.005)-1.028-0.996-0.05-12.5</f>
        <v>0.80899999999999395</v>
      </c>
    </row>
    <row r="159" spans="1:5" ht="51">
      <c r="A159" s="5" t="s">
        <v>63</v>
      </c>
      <c r="B159" s="10" t="s">
        <v>4</v>
      </c>
      <c r="C159" s="23" t="s">
        <v>203</v>
      </c>
      <c r="D159" s="22" t="s">
        <v>206</v>
      </c>
      <c r="E159" s="18">
        <f>4.03-0.082-0.204-0.042-0.04-0.04-0.04-0.078-0.038-0.038-0.12-0.038-0.198-0.04-0.08-0.04-0.042-0.042-0.12-0.12-0.406-0.412-0.208-0.042-0.342-0.124-0.205-0.04-0.082</f>
        <v>0.72700000000000076</v>
      </c>
    </row>
    <row r="160" spans="1:5" ht="51">
      <c r="A160" s="5" t="s">
        <v>63</v>
      </c>
      <c r="B160" s="10" t="s">
        <v>4</v>
      </c>
      <c r="C160" s="23" t="s">
        <v>203</v>
      </c>
      <c r="D160" s="23" t="s">
        <v>166</v>
      </c>
      <c r="E160" s="18">
        <f>14.935-0.05-0.297-0.048-0.05-0.097-0.342-0.631-0.047-0.632-0.048-1.003-0.048-0.523-0.048-0.141-0.192-0.737-2.025-0.048-0.096-0.047-0.291-0.146-0.44-0.146-0.198-0.199-0.05-0.049-0.048-0.147-0.096-0.148-0.05-0.098-0.048-0.102-0.1-4.37-0.098</f>
        <v>0.96099999999999663</v>
      </c>
    </row>
    <row r="161" spans="1:5" ht="51">
      <c r="A161" s="5" t="s">
        <v>63</v>
      </c>
      <c r="B161" s="10" t="s">
        <v>4</v>
      </c>
      <c r="C161" s="23" t="s">
        <v>204</v>
      </c>
      <c r="D161" s="23" t="s">
        <v>205</v>
      </c>
      <c r="E161" s="18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2" spans="1:5" ht="51">
      <c r="A162" s="5" t="s">
        <v>63</v>
      </c>
      <c r="B162" s="10" t="s">
        <v>4</v>
      </c>
      <c r="C162" s="23" t="s">
        <v>204</v>
      </c>
      <c r="D162" s="23" t="s">
        <v>153</v>
      </c>
      <c r="E162" s="18">
        <f>19.68-0.526-0.074-2.466-0.742-0.598-0.074-0.447-0.528-0.528-0.37-0.074-0.074-0.074-0.297-4.53-0.076-0.525-0.075-0.149-0.522-1.944-0.074-0.298-0.148-0.224-0.525-3</f>
        <v>0.7179999999999942</v>
      </c>
    </row>
    <row r="163" spans="1:5" ht="51">
      <c r="A163" s="5" t="s">
        <v>63</v>
      </c>
      <c r="B163" s="10" t="s">
        <v>4</v>
      </c>
      <c r="C163" s="23" t="s">
        <v>203</v>
      </c>
      <c r="D163" s="27" t="s">
        <v>133</v>
      </c>
      <c r="E163" s="18">
        <f>10.035-0.116-0.172-0.173-0.395-0.109-0.113-0.056-0.112-0.056-0.11-0.112-0.112-0.056-0.058-0.056-0.057-0.115-0.056-0.058-0.116</f>
        <v>7.8270000000000053</v>
      </c>
    </row>
    <row r="164" spans="1:5" ht="51">
      <c r="A164" s="5" t="s">
        <v>63</v>
      </c>
      <c r="B164" s="10" t="s">
        <v>4</v>
      </c>
      <c r="C164" s="26" t="s">
        <v>178</v>
      </c>
      <c r="D164" s="27" t="s">
        <v>202</v>
      </c>
      <c r="E164" s="19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5" spans="1:5" ht="51">
      <c r="A165" s="5" t="s">
        <v>63</v>
      </c>
      <c r="B165" s="10" t="s">
        <v>4</v>
      </c>
      <c r="C165" s="26" t="s">
        <v>194</v>
      </c>
      <c r="D165" s="27" t="s">
        <v>201</v>
      </c>
      <c r="E165" s="19">
        <f>20.65-0.198-0.094-0.38-0.094-0.19-0.76-0.19-0.19-0.096-0.099-0.192-0.191-0.096-0.286-0.096-0.096-0.094-0.19-0.288-0.094-0.189-0.191-0.097-15</f>
        <v>1.2589999999999861</v>
      </c>
    </row>
    <row r="166" spans="1:5" ht="51">
      <c r="A166" s="5" t="s">
        <v>63</v>
      </c>
      <c r="B166" s="10" t="s">
        <v>4</v>
      </c>
      <c r="C166" s="26" t="s">
        <v>178</v>
      </c>
      <c r="D166" s="27" t="s">
        <v>200</v>
      </c>
      <c r="E166" s="19">
        <f>5.138-0.286-0.57-0.284-0.286-0.286-0.283-0.284</f>
        <v>2.8590000000000004</v>
      </c>
    </row>
    <row r="167" spans="1:5" ht="51">
      <c r="A167" s="5" t="s">
        <v>63</v>
      </c>
      <c r="B167" s="10" t="s">
        <v>4</v>
      </c>
      <c r="C167" s="26" t="s">
        <v>175</v>
      </c>
      <c r="D167" s="27" t="s">
        <v>200</v>
      </c>
      <c r="E167" s="19">
        <f>15.62-3.98-0.284-0.282-1.422-0.286-0.285-5</f>
        <v>4.0809999999999977</v>
      </c>
    </row>
    <row r="168" spans="1:5" ht="51">
      <c r="A168" s="5" t="s">
        <v>63</v>
      </c>
      <c r="B168" s="10" t="s">
        <v>4</v>
      </c>
      <c r="C168" s="26" t="s">
        <v>178</v>
      </c>
      <c r="D168" s="27" t="s">
        <v>199</v>
      </c>
      <c r="E168" s="19">
        <f>0.285-0.213</f>
        <v>7.1999999999999981E-2</v>
      </c>
    </row>
    <row r="169" spans="1:5" ht="51">
      <c r="A169" s="5" t="s">
        <v>63</v>
      </c>
      <c r="B169" s="10" t="s">
        <v>4</v>
      </c>
      <c r="C169" s="26" t="s">
        <v>178</v>
      </c>
      <c r="D169" s="24" t="s">
        <v>198</v>
      </c>
      <c r="E169" s="19">
        <f>4.98-0.392-0.098-0.388-0.098-0.196-0.196-0.196-0.098-0.297-0.1-0.196-0.098-0.288-0.188-0.094-0.097-0.098-0.098-0.098-0.098-0.096-0.097-0.49-0.482-0.098-0.096-0.2</f>
        <v>8.9999999999995917E-3</v>
      </c>
    </row>
    <row r="170" spans="1:5" ht="51">
      <c r="A170" s="5" t="s">
        <v>63</v>
      </c>
      <c r="B170" s="9" t="s">
        <v>4</v>
      </c>
      <c r="C170" s="23" t="s">
        <v>175</v>
      </c>
      <c r="D170" s="23" t="s">
        <v>197</v>
      </c>
      <c r="E170" s="18">
        <f>0.426-0.018-0.072-0.065-0.021-(0.001)-0.214</f>
        <v>3.4999999999999976E-2</v>
      </c>
    </row>
    <row r="171" spans="1:5" ht="51">
      <c r="A171" s="5" t="s">
        <v>63</v>
      </c>
      <c r="B171" s="10" t="s">
        <v>4</v>
      </c>
      <c r="C171" s="23" t="s">
        <v>175</v>
      </c>
      <c r="D171" s="23" t="s">
        <v>196</v>
      </c>
      <c r="E171" s="18">
        <f>3.845-0.424-0.425-0.425-2.13</f>
        <v>0.44100000000000072</v>
      </c>
    </row>
    <row r="172" spans="1:5" ht="51">
      <c r="A172" s="5" t="s">
        <v>63</v>
      </c>
      <c r="B172" s="10" t="s">
        <v>4</v>
      </c>
      <c r="C172" s="23" t="s">
        <v>175</v>
      </c>
      <c r="D172" s="23" t="s">
        <v>195</v>
      </c>
      <c r="E172" s="18">
        <f>0.425-0.022-0.212</f>
        <v>0.19099999999999998</v>
      </c>
    </row>
    <row r="173" spans="1:5" ht="51">
      <c r="A173" s="5" t="s">
        <v>63</v>
      </c>
      <c r="B173" s="10" t="s">
        <v>4</v>
      </c>
      <c r="C173" s="26" t="s">
        <v>194</v>
      </c>
      <c r="D173" s="27" t="s">
        <v>193</v>
      </c>
      <c r="E173" s="19">
        <f>18.9-4.78-2.03-0.17-0.168-0.17-0.172-0.169-10</f>
        <v>1.2409999999999979</v>
      </c>
    </row>
    <row r="174" spans="1:5" ht="51">
      <c r="A174" s="5" t="s">
        <v>63</v>
      </c>
      <c r="B174" s="10" t="s">
        <v>4</v>
      </c>
      <c r="C174" s="26" t="s">
        <v>191</v>
      </c>
      <c r="D174" s="24" t="s">
        <v>190</v>
      </c>
      <c r="E174" s="19">
        <f>15.39-0.562-0.564-5.133-0.57-0.57-0.57-0.567-0.57-1.136-0.567-0.569-0.569-0.568-0.569-1.142-0.572</f>
        <v>0.59199999999999886</v>
      </c>
    </row>
    <row r="175" spans="1:5" ht="51">
      <c r="A175" s="5" t="s">
        <v>63</v>
      </c>
      <c r="B175" s="9" t="s">
        <v>4</v>
      </c>
      <c r="C175" s="26" t="s">
        <v>191</v>
      </c>
      <c r="D175" s="24" t="s">
        <v>192</v>
      </c>
      <c r="E175" s="19">
        <f>0.567-0.153-0.143-0.2+(0.001)</f>
        <v>7.1999999999999897E-2</v>
      </c>
    </row>
    <row r="176" spans="1:5" ht="51">
      <c r="A176" s="5" t="s">
        <v>63</v>
      </c>
      <c r="B176" s="9" t="s">
        <v>4</v>
      </c>
      <c r="C176" s="26" t="s">
        <v>191</v>
      </c>
      <c r="D176" s="24" t="s">
        <v>190</v>
      </c>
      <c r="E176" s="19">
        <f>15.78-0.557-0.57-12</f>
        <v>2.6529999999999987</v>
      </c>
    </row>
    <row r="177" spans="1:5" ht="51">
      <c r="A177" s="5" t="s">
        <v>63</v>
      </c>
      <c r="B177" s="9" t="s">
        <v>4</v>
      </c>
      <c r="C177" s="26" t="s">
        <v>178</v>
      </c>
      <c r="D177" s="24" t="s">
        <v>189</v>
      </c>
      <c r="E177" s="19">
        <f>4.185-0.732-0.244-0.246-0.246-0.25-0.248-0.248-1.46-0.243</f>
        <v>0.26799999999999946</v>
      </c>
    </row>
    <row r="178" spans="1:5" ht="51">
      <c r="A178" s="5" t="s">
        <v>63</v>
      </c>
      <c r="B178" s="9" t="s">
        <v>4</v>
      </c>
      <c r="C178" s="26" t="s">
        <v>178</v>
      </c>
      <c r="D178" s="24" t="s">
        <v>189</v>
      </c>
      <c r="E178" s="19">
        <f>5.055-2.134-0.488-0.49-0.732-0.96</f>
        <v>0.25099999999999989</v>
      </c>
    </row>
    <row r="179" spans="1:5" ht="51">
      <c r="A179" s="5" t="s">
        <v>63</v>
      </c>
      <c r="B179" s="9" t="s">
        <v>4</v>
      </c>
      <c r="C179" s="26" t="s">
        <v>178</v>
      </c>
      <c r="D179" s="24" t="s">
        <v>189</v>
      </c>
      <c r="E179" s="19">
        <f>19.57-0.242-3.618-0.242-0.24-3.132-0.96-0.24-0.242-0.722-0.24-0.242-0.24-0.24-0.241-0.242-0.24-0.245-0.242-0.245-7</f>
        <v>0.51499999999999879</v>
      </c>
    </row>
    <row r="180" spans="1:5" ht="51">
      <c r="A180" s="5" t="s">
        <v>63</v>
      </c>
      <c r="B180" s="9" t="s">
        <v>4</v>
      </c>
      <c r="C180" s="23" t="s">
        <v>178</v>
      </c>
      <c r="D180" s="27" t="s">
        <v>188</v>
      </c>
      <c r="E180" s="19">
        <f>15.4-0.7-10</f>
        <v>4.7000000000000011</v>
      </c>
    </row>
    <row r="181" spans="1:5" ht="51">
      <c r="A181" s="5" t="s">
        <v>63</v>
      </c>
      <c r="B181" s="9" t="s">
        <v>4</v>
      </c>
      <c r="C181" s="23" t="s">
        <v>178</v>
      </c>
      <c r="D181" s="27" t="s">
        <v>187</v>
      </c>
      <c r="E181" s="19">
        <f>0.7-0.234-0.117-(0.001)-0.147-(0.001)</f>
        <v>0.19999999999999998</v>
      </c>
    </row>
    <row r="182" spans="1:5" ht="51">
      <c r="A182" s="5" t="s">
        <v>63</v>
      </c>
      <c r="B182" s="9" t="s">
        <v>4</v>
      </c>
      <c r="C182" s="26" t="s">
        <v>175</v>
      </c>
      <c r="D182" s="24" t="s">
        <v>185</v>
      </c>
      <c r="E182" s="19">
        <f>4.24-0.846-0.85</f>
        <v>2.544</v>
      </c>
    </row>
    <row r="183" spans="1:5" ht="51">
      <c r="A183" s="5" t="s">
        <v>63</v>
      </c>
      <c r="B183" s="9" t="s">
        <v>4</v>
      </c>
      <c r="C183" s="26" t="s">
        <v>175</v>
      </c>
      <c r="D183" s="24" t="s">
        <v>186</v>
      </c>
      <c r="E183" s="19">
        <f>0.846-0.038-0.297+(0.001)</f>
        <v>0.5119999999999999</v>
      </c>
    </row>
    <row r="184" spans="1:5" ht="51">
      <c r="A184" s="5" t="s">
        <v>63</v>
      </c>
      <c r="B184" s="9" t="s">
        <v>4</v>
      </c>
      <c r="C184" s="26" t="s">
        <v>175</v>
      </c>
      <c r="D184" s="24" t="s">
        <v>185</v>
      </c>
      <c r="E184" s="19">
        <f>4.235</f>
        <v>4.2350000000000003</v>
      </c>
    </row>
    <row r="185" spans="1:5" ht="51">
      <c r="A185" s="5" t="s">
        <v>63</v>
      </c>
      <c r="B185" s="9" t="s">
        <v>4</v>
      </c>
      <c r="C185" s="26" t="s">
        <v>175</v>
      </c>
      <c r="D185" s="24" t="s">
        <v>184</v>
      </c>
      <c r="E185" s="19">
        <f>3.59-1.166-1.166</f>
        <v>1.258</v>
      </c>
    </row>
    <row r="186" spans="1:5" ht="51">
      <c r="A186" s="5" t="s">
        <v>63</v>
      </c>
      <c r="B186" s="9" t="s">
        <v>4</v>
      </c>
      <c r="C186" s="26" t="s">
        <v>175</v>
      </c>
      <c r="D186" s="24" t="s">
        <v>183</v>
      </c>
      <c r="E186" s="19">
        <f>1.166-0.06-0.062-0.036-(0.002)-0.39-(0.002)-0.387-(0.002)</f>
        <v>0.22499999999999976</v>
      </c>
    </row>
    <row r="187" spans="1:5" ht="51">
      <c r="A187" s="5" t="s">
        <v>63</v>
      </c>
      <c r="B187" s="9" t="s">
        <v>4</v>
      </c>
      <c r="C187" s="26" t="s">
        <v>175</v>
      </c>
      <c r="D187" s="24" t="s">
        <v>182</v>
      </c>
      <c r="E187" s="19">
        <f>1.166-0.391-0.108-0.391-(0.001)</f>
        <v>0.27499999999999991</v>
      </c>
    </row>
    <row r="188" spans="1:5" ht="51">
      <c r="A188" s="5" t="s">
        <v>63</v>
      </c>
      <c r="B188" s="9" t="s">
        <v>4</v>
      </c>
      <c r="C188" s="26" t="s">
        <v>178</v>
      </c>
      <c r="D188" s="24" t="s">
        <v>181</v>
      </c>
      <c r="E188" s="19">
        <f>1.41-0.072-0.238-0.708-0.024-0.142-0.024-(0.002)-0.038</f>
        <v>0.16199999999999989</v>
      </c>
    </row>
    <row r="189" spans="1:5" ht="51">
      <c r="A189" s="5" t="s">
        <v>63</v>
      </c>
      <c r="B189" s="9" t="s">
        <v>4</v>
      </c>
      <c r="C189" s="26" t="s">
        <v>175</v>
      </c>
      <c r="D189" s="24" t="s">
        <v>180</v>
      </c>
      <c r="E189" s="19">
        <f>2.856-1.428</f>
        <v>1.4279999999999999</v>
      </c>
    </row>
    <row r="190" spans="1:5" ht="51">
      <c r="A190" s="5" t="s">
        <v>63</v>
      </c>
      <c r="B190" s="9" t="s">
        <v>4</v>
      </c>
      <c r="C190" s="26" t="s">
        <v>175</v>
      </c>
      <c r="D190" s="24" t="s">
        <v>179</v>
      </c>
      <c r="E190" s="19">
        <f>1.428-0.14-(0.018)</f>
        <v>1.2699999999999998</v>
      </c>
    </row>
    <row r="191" spans="1:5" ht="51">
      <c r="A191" s="5" t="s">
        <v>63</v>
      </c>
      <c r="B191" s="9" t="s">
        <v>4</v>
      </c>
      <c r="C191" s="26" t="s">
        <v>178</v>
      </c>
      <c r="D191" s="24" t="s">
        <v>177</v>
      </c>
      <c r="E191" s="19">
        <f>1.785-0.052-(0.023)-0.096-(0.004)-0.178-0.148-(0.004)-0.04-0.297-(0.001)</f>
        <v>0.94200000000000006</v>
      </c>
    </row>
    <row r="192" spans="1:5" ht="51">
      <c r="A192" s="5" t="s">
        <v>63</v>
      </c>
      <c r="B192" s="9" t="s">
        <v>4</v>
      </c>
      <c r="C192" s="26" t="s">
        <v>175</v>
      </c>
      <c r="D192" s="24" t="s">
        <v>176</v>
      </c>
      <c r="E192" s="19">
        <f>4.48-2.262-0.47+(0.044)</f>
        <v>1.7920000000000005</v>
      </c>
    </row>
    <row r="193" spans="1:5" ht="51">
      <c r="A193" s="5" t="s">
        <v>63</v>
      </c>
      <c r="B193" s="9" t="s">
        <v>4</v>
      </c>
      <c r="C193" s="26" t="s">
        <v>175</v>
      </c>
      <c r="D193" s="24" t="s">
        <v>174</v>
      </c>
      <c r="E193" s="19">
        <f>2.262-0.23-0.568-0.568-(0.002)-0.564-(0.008)</f>
        <v>0.32200000000000006</v>
      </c>
    </row>
    <row r="194" spans="1:5" ht="51">
      <c r="A194" s="5" t="s">
        <v>63</v>
      </c>
      <c r="B194" s="9" t="s">
        <v>12</v>
      </c>
      <c r="C194" s="14" t="s">
        <v>212</v>
      </c>
      <c r="D194" s="24" t="s">
        <v>240</v>
      </c>
      <c r="E194" s="19">
        <f>3.962-0.658-0.248-0.032-0.032-0.031-0.03-1.278-0.156-0.156-0.032-0.03-0.062-0.186-0.606-0.158-0.25</f>
        <v>1.7000000000000126E-2</v>
      </c>
    </row>
    <row r="195" spans="1:5" ht="51">
      <c r="A195" s="5" t="s">
        <v>63</v>
      </c>
      <c r="B195" s="9" t="s">
        <v>12</v>
      </c>
      <c r="C195" s="14" t="s">
        <v>212</v>
      </c>
      <c r="D195" s="24" t="s">
        <v>240</v>
      </c>
      <c r="E195" s="19">
        <f>3.926-0.637-0.096-0.515-0.191-0.032-0.032-1.261-0.031-0.032-0.031-0.77-0.127-0.031-0.062-0.032-0.029</f>
        <v>1.7000000000000261E-2</v>
      </c>
    </row>
    <row r="196" spans="1:5" ht="51">
      <c r="A196" s="5" t="s">
        <v>63</v>
      </c>
      <c r="B196" s="9" t="s">
        <v>12</v>
      </c>
      <c r="C196" s="14" t="s">
        <v>212</v>
      </c>
      <c r="D196" s="24" t="s">
        <v>240</v>
      </c>
      <c r="E196" s="19">
        <f>3.628-1.502-0.68-0.128-0.13-0.032-0.52-0.032-0.132-0.228</f>
        <v>0.24400000000000008</v>
      </c>
    </row>
    <row r="197" spans="1:5" ht="51">
      <c r="A197" s="5" t="s">
        <v>63</v>
      </c>
      <c r="B197" s="9" t="s">
        <v>12</v>
      </c>
      <c r="C197" s="14" t="s">
        <v>212</v>
      </c>
      <c r="D197" s="24" t="s">
        <v>166</v>
      </c>
      <c r="E197" s="19">
        <f>3.02-0.046-0.093-0.045-0.048-0.091-0.046-0.048-0.184-0.048-0.044-0.046-0.048-0.093-0.046-0.045-0.094-0.047-0.046-0.046-0.14-0.094-0.048-0.046-0.046-0.412-0.048-0.092-0.094-0.048-0.184-0.044-0.048-0.043-0.044</f>
        <v>0.38500000000000006</v>
      </c>
    </row>
    <row r="198" spans="1:5" ht="51">
      <c r="A198" s="5" t="s">
        <v>63</v>
      </c>
      <c r="B198" s="9" t="s">
        <v>12</v>
      </c>
      <c r="C198" s="14" t="s">
        <v>212</v>
      </c>
      <c r="D198" s="24" t="s">
        <v>166</v>
      </c>
      <c r="E198" s="19">
        <f>3.772</f>
        <v>3.7719999999999998</v>
      </c>
    </row>
    <row r="199" spans="1:5" ht="51">
      <c r="A199" s="5" t="s">
        <v>63</v>
      </c>
      <c r="B199" s="9" t="s">
        <v>12</v>
      </c>
      <c r="C199" s="14" t="s">
        <v>212</v>
      </c>
      <c r="D199" s="24" t="s">
        <v>133</v>
      </c>
      <c r="E199" s="19">
        <f>3.874-0.056-1.54</f>
        <v>2.278</v>
      </c>
    </row>
    <row r="200" spans="1:5" ht="51">
      <c r="A200" s="5" t="s">
        <v>63</v>
      </c>
      <c r="B200" s="9" t="s">
        <v>12</v>
      </c>
      <c r="C200" s="14" t="s">
        <v>212</v>
      </c>
      <c r="D200" s="24" t="s">
        <v>239</v>
      </c>
      <c r="E200" s="19">
        <f>3.912-0.861-0.123-0.619-0.366-0.06-0.555-0.31-0.484-0.06-0.062-0.183-0.06-0.06-0.064</f>
        <v>4.4999999999999818E-2</v>
      </c>
    </row>
    <row r="201" spans="1:5" ht="51">
      <c r="A201" s="5" t="s">
        <v>63</v>
      </c>
      <c r="B201" s="10" t="s">
        <v>12</v>
      </c>
      <c r="C201" s="21" t="s">
        <v>212</v>
      </c>
      <c r="D201" s="22" t="s">
        <v>239</v>
      </c>
      <c r="E201" s="19">
        <f>3.97-0.124-0.126-0.508-1.512-0.44-0.632-0.25-0.06</f>
        <v>0.31800000000000023</v>
      </c>
    </row>
    <row r="202" spans="1:5" ht="51">
      <c r="A202" s="5" t="s">
        <v>63</v>
      </c>
      <c r="B202" s="10" t="s">
        <v>12</v>
      </c>
      <c r="C202" s="21" t="s">
        <v>221</v>
      </c>
      <c r="D202" s="22" t="s">
        <v>200</v>
      </c>
      <c r="E202" s="19">
        <f>24.16-0.542-0.27-0.269-20</f>
        <v>3.0790000000000006</v>
      </c>
    </row>
    <row r="203" spans="1:5" ht="51">
      <c r="A203" s="5" t="s">
        <v>63</v>
      </c>
      <c r="B203" s="10" t="s">
        <v>12</v>
      </c>
      <c r="C203" s="21" t="s">
        <v>221</v>
      </c>
      <c r="D203" s="22" t="s">
        <v>238</v>
      </c>
      <c r="E203" s="19">
        <f>0.27-0.014</f>
        <v>0.25600000000000001</v>
      </c>
    </row>
    <row r="204" spans="1:5" ht="51">
      <c r="A204" s="5" t="s">
        <v>63</v>
      </c>
      <c r="B204" s="10" t="s">
        <v>12</v>
      </c>
      <c r="C204" s="21" t="s">
        <v>217</v>
      </c>
      <c r="D204" s="22" t="s">
        <v>237</v>
      </c>
      <c r="E204" s="19">
        <f>5.012-0.286-0.096-0.193</f>
        <v>4.4370000000000003</v>
      </c>
    </row>
    <row r="205" spans="1:5" ht="51">
      <c r="A205" s="5" t="s">
        <v>63</v>
      </c>
      <c r="B205" s="10" t="s">
        <v>12</v>
      </c>
      <c r="C205" s="21" t="s">
        <v>235</v>
      </c>
      <c r="D205" s="22" t="s">
        <v>236</v>
      </c>
      <c r="E205" s="19">
        <f>15-0.349-10</f>
        <v>4.6509999999999998</v>
      </c>
    </row>
    <row r="206" spans="1:5" ht="51">
      <c r="A206" s="5" t="s">
        <v>63</v>
      </c>
      <c r="B206" s="10" t="s">
        <v>12</v>
      </c>
      <c r="C206" s="21" t="s">
        <v>235</v>
      </c>
      <c r="D206" s="22" t="s">
        <v>234</v>
      </c>
      <c r="E206" s="19">
        <f>0.349-0.088</f>
        <v>0.26100000000000001</v>
      </c>
    </row>
    <row r="207" spans="1:5" ht="51">
      <c r="A207" s="5" t="s">
        <v>63</v>
      </c>
      <c r="B207" s="10" t="s">
        <v>12</v>
      </c>
      <c r="C207" s="21" t="s">
        <v>233</v>
      </c>
      <c r="D207" s="22" t="s">
        <v>232</v>
      </c>
      <c r="E207" s="19">
        <f>0.42-0.212-0.07-0.046-0.07</f>
        <v>2.1999999999999978E-2</v>
      </c>
    </row>
    <row r="208" spans="1:5" ht="51">
      <c r="A208" s="5" t="s">
        <v>63</v>
      </c>
      <c r="B208" s="10" t="s">
        <v>12</v>
      </c>
      <c r="C208" s="21" t="s">
        <v>230</v>
      </c>
      <c r="D208" s="22" t="s">
        <v>196</v>
      </c>
      <c r="E208" s="19">
        <f>2.42-0.408-0.402-0.41-0.419-0.403</f>
        <v>0.37799999999999989</v>
      </c>
    </row>
    <row r="209" spans="1:5" ht="51">
      <c r="A209" s="5" t="s">
        <v>63</v>
      </c>
      <c r="B209" s="10" t="s">
        <v>12</v>
      </c>
      <c r="C209" s="21" t="s">
        <v>230</v>
      </c>
      <c r="D209" s="22" t="s">
        <v>231</v>
      </c>
      <c r="E209" s="19">
        <f>0.408-0.204-0.054-0.036-(0.002)-0.068-(0.001)-0.017</f>
        <v>2.5999999999999981E-2</v>
      </c>
    </row>
    <row r="210" spans="1:5" ht="51">
      <c r="A210" s="5" t="s">
        <v>63</v>
      </c>
      <c r="B210" s="10" t="s">
        <v>12</v>
      </c>
      <c r="C210" s="21" t="s">
        <v>230</v>
      </c>
      <c r="D210" s="22" t="s">
        <v>196</v>
      </c>
      <c r="E210" s="19">
        <f>1.59</f>
        <v>1.59</v>
      </c>
    </row>
    <row r="211" spans="1:5" ht="51">
      <c r="A211" s="5" t="s">
        <v>63</v>
      </c>
      <c r="B211" s="10" t="s">
        <v>12</v>
      </c>
      <c r="C211" s="21" t="s">
        <v>230</v>
      </c>
      <c r="D211" s="22" t="s">
        <v>196</v>
      </c>
      <c r="E211" s="19">
        <f>1.98</f>
        <v>1.98</v>
      </c>
    </row>
    <row r="212" spans="1:5" ht="51">
      <c r="A212" s="5" t="s">
        <v>63</v>
      </c>
      <c r="B212" s="10" t="s">
        <v>12</v>
      </c>
      <c r="C212" s="14" t="s">
        <v>221</v>
      </c>
      <c r="D212" s="20" t="s">
        <v>196</v>
      </c>
      <c r="E212" s="19">
        <f>22.59-1.2-1.992-18</f>
        <v>1.3979999999999997</v>
      </c>
    </row>
    <row r="213" spans="1:5" ht="51">
      <c r="A213" s="5" t="s">
        <v>63</v>
      </c>
      <c r="B213" s="9" t="s">
        <v>12</v>
      </c>
      <c r="C213" s="14" t="s">
        <v>221</v>
      </c>
      <c r="D213" s="24" t="s">
        <v>229</v>
      </c>
      <c r="E213" s="19">
        <f>22.82-0.473-0.477-0.478-0.478-20</f>
        <v>0.91399999999999793</v>
      </c>
    </row>
    <row r="214" spans="1:5" ht="51">
      <c r="A214" s="5" t="s">
        <v>63</v>
      </c>
      <c r="B214" s="9" t="s">
        <v>12</v>
      </c>
      <c r="C214" s="14" t="s">
        <v>221</v>
      </c>
      <c r="D214" s="24" t="s">
        <v>228</v>
      </c>
      <c r="E214" s="19">
        <f>0.473-0.237-0.158</f>
        <v>7.7999999999999986E-2</v>
      </c>
    </row>
    <row r="215" spans="1:5" ht="51">
      <c r="A215" s="5" t="s">
        <v>63</v>
      </c>
      <c r="B215" s="10" t="s">
        <v>12</v>
      </c>
      <c r="C215" s="14" t="s">
        <v>221</v>
      </c>
      <c r="D215" s="24" t="s">
        <v>227</v>
      </c>
      <c r="E215" s="19">
        <f>0.478-0.239</f>
        <v>0.23899999999999999</v>
      </c>
    </row>
    <row r="216" spans="1:5" ht="51">
      <c r="A216" s="5" t="s">
        <v>63</v>
      </c>
      <c r="B216" s="9" t="s">
        <v>12</v>
      </c>
      <c r="C216" s="21" t="s">
        <v>217</v>
      </c>
      <c r="D216" s="22" t="s">
        <v>226</v>
      </c>
      <c r="E216" s="19">
        <f>0.309-0.04</f>
        <v>0.26900000000000002</v>
      </c>
    </row>
    <row r="217" spans="1:5" ht="51">
      <c r="A217" s="5" t="s">
        <v>63</v>
      </c>
      <c r="B217" s="9" t="s">
        <v>12</v>
      </c>
      <c r="C217" s="21" t="s">
        <v>212</v>
      </c>
      <c r="D217" s="22" t="s">
        <v>190</v>
      </c>
      <c r="E217" s="19">
        <f>25.85-0.539-20</f>
        <v>5.3109999999999999</v>
      </c>
    </row>
    <row r="218" spans="1:5" ht="51">
      <c r="A218" s="5" t="s">
        <v>63</v>
      </c>
      <c r="B218" s="10" t="s">
        <v>12</v>
      </c>
      <c r="C218" s="21" t="s">
        <v>212</v>
      </c>
      <c r="D218" s="22" t="s">
        <v>225</v>
      </c>
      <c r="E218" s="19">
        <f>0.539-0.09</f>
        <v>0.44900000000000007</v>
      </c>
    </row>
    <row r="219" spans="1:5" ht="51">
      <c r="A219" s="5" t="s">
        <v>63</v>
      </c>
      <c r="B219" s="9" t="s">
        <v>12</v>
      </c>
      <c r="C219" s="21" t="s">
        <v>217</v>
      </c>
      <c r="D219" s="22" t="s">
        <v>224</v>
      </c>
      <c r="E219" s="19">
        <f>0.466-0.048-0.292-(0.002)</f>
        <v>0.12400000000000005</v>
      </c>
    </row>
    <row r="220" spans="1:5" ht="51">
      <c r="A220" s="5" t="s">
        <v>63</v>
      </c>
      <c r="B220" s="9" t="s">
        <v>12</v>
      </c>
      <c r="C220" s="14" t="s">
        <v>212</v>
      </c>
      <c r="D220" s="20" t="s">
        <v>223</v>
      </c>
      <c r="E220" s="19">
        <f>0.838-0.448-0.183-0.141-(0.001)</f>
        <v>6.4999999999999974E-2</v>
      </c>
    </row>
    <row r="221" spans="1:5" ht="51">
      <c r="A221" s="5" t="s">
        <v>63</v>
      </c>
      <c r="B221" s="9" t="s">
        <v>12</v>
      </c>
      <c r="C221" s="14" t="s">
        <v>212</v>
      </c>
      <c r="D221" s="20" t="s">
        <v>222</v>
      </c>
      <c r="E221" s="19">
        <f>0.83-0.278-0.044-0.037</f>
        <v>0.47099999999999992</v>
      </c>
    </row>
    <row r="222" spans="1:5" ht="51">
      <c r="A222" s="5" t="s">
        <v>63</v>
      </c>
      <c r="B222" s="9" t="s">
        <v>12</v>
      </c>
      <c r="C222" s="14" t="s">
        <v>221</v>
      </c>
      <c r="D222" s="20" t="s">
        <v>185</v>
      </c>
      <c r="E222" s="19">
        <f>21.92-0.848-5.68-12</f>
        <v>3.392000000000003</v>
      </c>
    </row>
    <row r="223" spans="1:5" ht="51">
      <c r="A223" s="5" t="s">
        <v>63</v>
      </c>
      <c r="B223" s="9" t="s">
        <v>12</v>
      </c>
      <c r="C223" s="14" t="s">
        <v>212</v>
      </c>
      <c r="D223" s="20" t="s">
        <v>220</v>
      </c>
      <c r="E223" s="19">
        <f>0.97-0.05-0.05-0.05-0.502-(0.002)-0.168-(0.002)-0.042-(0.001)</f>
        <v>0.10299999999999981</v>
      </c>
    </row>
    <row r="224" spans="1:5" ht="51">
      <c r="A224" s="5" t="s">
        <v>63</v>
      </c>
      <c r="B224" s="9" t="s">
        <v>12</v>
      </c>
      <c r="C224" s="14" t="s">
        <v>212</v>
      </c>
      <c r="D224" s="20" t="s">
        <v>218</v>
      </c>
      <c r="E224" s="19">
        <f>3.85-0.957</f>
        <v>2.8930000000000002</v>
      </c>
    </row>
    <row r="225" spans="1:5" ht="51">
      <c r="A225" s="5" t="s">
        <v>63</v>
      </c>
      <c r="B225" s="10" t="s">
        <v>12</v>
      </c>
      <c r="C225" s="14" t="s">
        <v>212</v>
      </c>
      <c r="D225" s="20" t="s">
        <v>219</v>
      </c>
      <c r="E225" s="19">
        <f>0.957-0.368-0.161-(0.001)-0.081-(0.001)</f>
        <v>0.34499999999999992</v>
      </c>
    </row>
    <row r="226" spans="1:5" ht="51">
      <c r="A226" s="5" t="s">
        <v>63</v>
      </c>
      <c r="B226" s="9" t="s">
        <v>12</v>
      </c>
      <c r="C226" s="14" t="s">
        <v>212</v>
      </c>
      <c r="D226" s="20" t="s">
        <v>218</v>
      </c>
      <c r="E226" s="19">
        <f>3.835</f>
        <v>3.835</v>
      </c>
    </row>
    <row r="227" spans="1:5" ht="51">
      <c r="A227" s="5" t="s">
        <v>63</v>
      </c>
      <c r="B227" s="9" t="s">
        <v>12</v>
      </c>
      <c r="C227" s="21" t="s">
        <v>217</v>
      </c>
      <c r="D227" s="22" t="s">
        <v>216</v>
      </c>
      <c r="E227" s="19">
        <f>2.35</f>
        <v>2.35</v>
      </c>
    </row>
    <row r="228" spans="1:5" ht="51">
      <c r="A228" s="5" t="s">
        <v>63</v>
      </c>
      <c r="B228" s="9" t="s">
        <v>12</v>
      </c>
      <c r="C228" s="14" t="s">
        <v>212</v>
      </c>
      <c r="D228" s="24" t="s">
        <v>215</v>
      </c>
      <c r="E228" s="19">
        <f>7.67-1.088-2.194-1.105-2.194</f>
        <v>1.089</v>
      </c>
    </row>
    <row r="229" spans="1:5" ht="51">
      <c r="A229" s="5" t="s">
        <v>63</v>
      </c>
      <c r="B229" s="9" t="s">
        <v>12</v>
      </c>
      <c r="C229" s="14" t="s">
        <v>212</v>
      </c>
      <c r="D229" s="20" t="s">
        <v>214</v>
      </c>
      <c r="E229" s="19">
        <f>1.15-0.064+(0.096)-0.053-0.22</f>
        <v>0.90900000000000003</v>
      </c>
    </row>
    <row r="230" spans="1:5" ht="51">
      <c r="A230" s="5" t="s">
        <v>63</v>
      </c>
      <c r="B230" s="9" t="s">
        <v>12</v>
      </c>
      <c r="C230" s="14" t="s">
        <v>212</v>
      </c>
      <c r="D230" s="20" t="s">
        <v>213</v>
      </c>
      <c r="E230" s="19">
        <f>3.78-2.508</f>
        <v>1.2719999999999998</v>
      </c>
    </row>
    <row r="231" spans="1:5" ht="51">
      <c r="A231" s="5" t="s">
        <v>63</v>
      </c>
      <c r="B231" s="9" t="s">
        <v>12</v>
      </c>
      <c r="C231" s="14" t="s">
        <v>212</v>
      </c>
      <c r="D231" s="20" t="s">
        <v>180</v>
      </c>
      <c r="E231" s="19">
        <f>4.14-1.378</f>
        <v>2.7619999999999996</v>
      </c>
    </row>
    <row r="232" spans="1:5" ht="51">
      <c r="A232" s="5" t="s">
        <v>63</v>
      </c>
      <c r="B232" s="9" t="s">
        <v>12</v>
      </c>
      <c r="C232" s="14" t="s">
        <v>212</v>
      </c>
      <c r="D232" s="20" t="s">
        <v>211</v>
      </c>
      <c r="E232" s="19">
        <f>1.378-0.198-0.06-(0.004)-0.06</f>
        <v>1.0559999999999998</v>
      </c>
    </row>
    <row r="233" spans="1:5" ht="51">
      <c r="A233" s="5" t="s">
        <v>63</v>
      </c>
      <c r="B233" s="9" t="s">
        <v>12</v>
      </c>
      <c r="C233" s="14" t="s">
        <v>208</v>
      </c>
      <c r="D233" s="20" t="s">
        <v>210</v>
      </c>
      <c r="E233" s="19">
        <f>1.62-0.074+(0.008)</f>
        <v>1.554</v>
      </c>
    </row>
    <row r="234" spans="1:5" ht="51">
      <c r="A234" s="5" t="s">
        <v>63</v>
      </c>
      <c r="B234" s="9" t="s">
        <v>12</v>
      </c>
      <c r="C234" s="14" t="s">
        <v>208</v>
      </c>
      <c r="D234" s="20" t="s">
        <v>209</v>
      </c>
      <c r="E234" s="19">
        <f>1.21-0.359-0.036-0.538-0.075-0.075-(0.001)</f>
        <v>0.12599999999999989</v>
      </c>
    </row>
    <row r="235" spans="1:5" ht="51">
      <c r="A235" s="5" t="s">
        <v>63</v>
      </c>
      <c r="B235" s="9" t="s">
        <v>12</v>
      </c>
      <c r="C235" s="14" t="s">
        <v>208</v>
      </c>
      <c r="D235" s="20" t="s">
        <v>207</v>
      </c>
      <c r="E235" s="19">
        <f>4.945-1.652</f>
        <v>3.2930000000000001</v>
      </c>
    </row>
    <row r="236" spans="1:5" ht="51">
      <c r="A236" s="5" t="s">
        <v>63</v>
      </c>
      <c r="B236" s="9" t="s">
        <v>5</v>
      </c>
      <c r="C236" s="26" t="s">
        <v>332</v>
      </c>
      <c r="D236" s="23" t="s">
        <v>206</v>
      </c>
      <c r="E236" s="19">
        <f>3.71-0.494-0.576-0.332-0.206-0.04-0.04-0.158-0.04-0.04-0.038-0.08-0.239-0.08-0.12-0.124-0.532-0.04-0.12-0.12-0.12</f>
        <v>0.17099999999999971</v>
      </c>
    </row>
    <row r="237" spans="1:5" ht="51">
      <c r="A237" s="5" t="s">
        <v>63</v>
      </c>
      <c r="B237" s="9" t="s">
        <v>5</v>
      </c>
      <c r="C237" s="26" t="s">
        <v>335</v>
      </c>
      <c r="D237" s="23" t="s">
        <v>206</v>
      </c>
      <c r="E237" s="19">
        <f>3.09-0.326-0.202-0.122-0.081-0.656+(0.656)-0.121-0.042-1</f>
        <v>1.1960000000000002</v>
      </c>
    </row>
    <row r="238" spans="1:5" ht="51">
      <c r="A238" s="5" t="s">
        <v>63</v>
      </c>
      <c r="B238" s="9" t="s">
        <v>5</v>
      </c>
      <c r="C238" s="26" t="s">
        <v>332</v>
      </c>
      <c r="D238" s="23" t="s">
        <v>334</v>
      </c>
      <c r="E238" s="19">
        <f>4.975-0.048-0.097-0.344-1.975-0.048-0.196-0.048-0.05-0.048-0.15-0.05-0.05-0.694-0.048</f>
        <v>1.1289999999999987</v>
      </c>
    </row>
    <row r="239" spans="1:5" ht="51">
      <c r="A239" s="5" t="s">
        <v>63</v>
      </c>
      <c r="B239" s="9" t="s">
        <v>5</v>
      </c>
      <c r="C239" s="26" t="s">
        <v>333</v>
      </c>
      <c r="D239" s="23" t="s">
        <v>146</v>
      </c>
      <c r="E239" s="19">
        <f>20.79-0.147-0.219-0.513-0.292-0.074-0.146-0.222-0.143-0.659-2.064-0.074-0.144-1.598-0.073-0.51-0.294-0.072-0.073-4.006-0.074-0.074-0.074-7.7-1</f>
        <v>0.54499999999999194</v>
      </c>
    </row>
    <row r="240" spans="1:5" ht="51">
      <c r="A240" s="5" t="s">
        <v>63</v>
      </c>
      <c r="B240" s="9" t="s">
        <v>5</v>
      </c>
      <c r="C240" s="26" t="s">
        <v>332</v>
      </c>
      <c r="D240" s="23" t="s">
        <v>133</v>
      </c>
      <c r="E240" s="19">
        <f>4.89-3.492-0.054-0.075</f>
        <v>1.2689999999999997</v>
      </c>
    </row>
    <row r="241" spans="1:5" ht="51">
      <c r="A241" s="5" t="s">
        <v>63</v>
      </c>
      <c r="B241" s="9" t="s">
        <v>5</v>
      </c>
      <c r="C241" s="26" t="s">
        <v>331</v>
      </c>
      <c r="D241" s="23" t="s">
        <v>330</v>
      </c>
      <c r="E241" s="19">
        <f>10.83-5.8</f>
        <v>5.03</v>
      </c>
    </row>
    <row r="242" spans="1:5" ht="51">
      <c r="A242" s="5" t="s">
        <v>63</v>
      </c>
      <c r="B242" s="9" t="s">
        <v>5</v>
      </c>
      <c r="C242" s="26" t="s">
        <v>329</v>
      </c>
      <c r="D242" s="23" t="s">
        <v>201</v>
      </c>
      <c r="E242" s="19">
        <f>27.05-0.192-0.294-0.097-2.59-0.097-0.097-0.096-0.194-20</f>
        <v>3.3929999999999971</v>
      </c>
    </row>
    <row r="243" spans="1:5" ht="51">
      <c r="A243" s="5" t="s">
        <v>63</v>
      </c>
      <c r="B243" s="9" t="s">
        <v>5</v>
      </c>
      <c r="C243" s="26" t="s">
        <v>328</v>
      </c>
      <c r="D243" s="23" t="s">
        <v>327</v>
      </c>
      <c r="E243" s="25">
        <f>1.978-0.342-0.07-0.346-0.479-0.136-0.068-0.411-0.068</f>
        <v>5.7999999999999718E-2</v>
      </c>
    </row>
    <row r="244" spans="1:5" ht="51">
      <c r="A244" s="5" t="s">
        <v>63</v>
      </c>
      <c r="B244" s="9" t="s">
        <v>5</v>
      </c>
      <c r="C244" s="26" t="s">
        <v>328</v>
      </c>
      <c r="D244" s="23" t="s">
        <v>327</v>
      </c>
      <c r="E244" s="25">
        <f>2.795-0.925-0.216-0.074-0.148</f>
        <v>1.4319999999999999</v>
      </c>
    </row>
    <row r="245" spans="1:5" ht="51">
      <c r="A245" s="5" t="s">
        <v>63</v>
      </c>
      <c r="B245" s="9" t="s">
        <v>5</v>
      </c>
      <c r="C245" s="26" t="s">
        <v>323</v>
      </c>
      <c r="D245" s="27" t="s">
        <v>236</v>
      </c>
      <c r="E245" s="19">
        <f>21.98-3.844-0.351-1-0.351-0.35-1.038-0.348-0.346-0.344-0.346-1.05-0.348-0.345-0.347-0.348-0.35-3.468-0.346-3.828-1.054-0.344-0.35-0.351</f>
        <v>1.1329999999999973</v>
      </c>
    </row>
    <row r="246" spans="1:5" ht="51">
      <c r="A246" s="5" t="s">
        <v>63</v>
      </c>
      <c r="B246" s="9" t="s">
        <v>5</v>
      </c>
      <c r="C246" s="26" t="s">
        <v>323</v>
      </c>
      <c r="D246" s="27" t="s">
        <v>326</v>
      </c>
      <c r="E246" s="19">
        <f>0.345-0.087-0.086-(0.001)-0.078-0.029-0.015-(0.001)</f>
        <v>4.8000000000000015E-2</v>
      </c>
    </row>
    <row r="247" spans="1:5" ht="51">
      <c r="A247" s="5" t="s">
        <v>63</v>
      </c>
      <c r="B247" s="9" t="s">
        <v>5</v>
      </c>
      <c r="C247" s="26" t="s">
        <v>323</v>
      </c>
      <c r="D247" s="27" t="s">
        <v>325</v>
      </c>
      <c r="E247" s="19">
        <f>0.346-0.231</f>
        <v>0.11499999999999996</v>
      </c>
    </row>
    <row r="248" spans="1:5" ht="51">
      <c r="A248" s="5" t="s">
        <v>63</v>
      </c>
      <c r="B248" s="10" t="s">
        <v>5</v>
      </c>
      <c r="C248" s="26" t="s">
        <v>323</v>
      </c>
      <c r="D248" s="27" t="s">
        <v>324</v>
      </c>
      <c r="E248" s="19">
        <f>0.351-0.176</f>
        <v>0.17499999999999999</v>
      </c>
    </row>
    <row r="249" spans="1:5" ht="51">
      <c r="A249" s="5" t="s">
        <v>63</v>
      </c>
      <c r="B249" s="10" t="s">
        <v>5</v>
      </c>
      <c r="C249" s="26" t="s">
        <v>323</v>
      </c>
      <c r="D249" s="27" t="s">
        <v>236</v>
      </c>
      <c r="E249" s="19">
        <f>20.4-0.704-0.346-0.342-14.696</f>
        <v>4.3119999999999994</v>
      </c>
    </row>
    <row r="250" spans="1:5" ht="51">
      <c r="A250" s="5" t="s">
        <v>63</v>
      </c>
      <c r="B250" s="10" t="s">
        <v>5</v>
      </c>
      <c r="C250" s="26" t="s">
        <v>318</v>
      </c>
      <c r="D250" s="27" t="s">
        <v>322</v>
      </c>
      <c r="E250" s="19">
        <f>1.656-1.447-0.139-(0.002)-0.018</f>
        <v>4.9999999999999836E-2</v>
      </c>
    </row>
    <row r="251" spans="1:5" ht="51">
      <c r="A251" s="5" t="s">
        <v>63</v>
      </c>
      <c r="B251" s="10" t="s">
        <v>5</v>
      </c>
      <c r="C251" s="26" t="s">
        <v>318</v>
      </c>
      <c r="D251" s="27" t="s">
        <v>321</v>
      </c>
      <c r="E251" s="19">
        <f>0.409-0.122-0.163-0.066-0.018</f>
        <v>3.9999999999999966E-2</v>
      </c>
    </row>
    <row r="252" spans="1:5" ht="51">
      <c r="A252" s="5" t="s">
        <v>63</v>
      </c>
      <c r="B252" s="10" t="s">
        <v>5</v>
      </c>
      <c r="C252" s="26" t="s">
        <v>318</v>
      </c>
      <c r="D252" s="27" t="s">
        <v>320</v>
      </c>
      <c r="E252" s="19">
        <f>0.412-0.093-0.206-0.069-(0.001)</f>
        <v>4.2999999999999955E-2</v>
      </c>
    </row>
    <row r="253" spans="1:5" ht="51">
      <c r="A253" s="5" t="s">
        <v>63</v>
      </c>
      <c r="B253" s="10" t="s">
        <v>5</v>
      </c>
      <c r="C253" s="26" t="s">
        <v>318</v>
      </c>
      <c r="D253" s="27" t="s">
        <v>319</v>
      </c>
      <c r="E253" s="19">
        <f>0.479-0.16-0.239-(0.001)-0.029</f>
        <v>4.9999999999999961E-2</v>
      </c>
    </row>
    <row r="254" spans="1:5" ht="51">
      <c r="A254" s="5" t="s">
        <v>63</v>
      </c>
      <c r="B254" s="10" t="s">
        <v>5</v>
      </c>
      <c r="C254" s="26" t="s">
        <v>296</v>
      </c>
      <c r="D254" s="27" t="s">
        <v>229</v>
      </c>
      <c r="E254" s="19">
        <f>21.17-15</f>
        <v>6.1700000000000017</v>
      </c>
    </row>
    <row r="255" spans="1:5" ht="51">
      <c r="A255" s="5" t="s">
        <v>63</v>
      </c>
      <c r="B255" s="10" t="s">
        <v>5</v>
      </c>
      <c r="C255" s="26" t="s">
        <v>318</v>
      </c>
      <c r="D255" s="27" t="s">
        <v>317</v>
      </c>
      <c r="E255" s="19">
        <f>0.542-0.326-0.024+(0.002)</f>
        <v>0.19400000000000003</v>
      </c>
    </row>
    <row r="256" spans="1:5" ht="51">
      <c r="A256" s="5" t="s">
        <v>63</v>
      </c>
      <c r="B256" s="10" t="s">
        <v>5</v>
      </c>
      <c r="C256" s="26" t="s">
        <v>316</v>
      </c>
      <c r="D256" s="27" t="s">
        <v>190</v>
      </c>
      <c r="E256" s="19">
        <f>12.01-0.544-2.178-0.544-0.546-1.634-0.547-0.546-0.546-0.542-0.544-0.544-0.565</f>
        <v>2.73</v>
      </c>
    </row>
    <row r="257" spans="1:5" ht="51">
      <c r="A257" s="5" t="s">
        <v>63</v>
      </c>
      <c r="B257" s="10" t="s">
        <v>5</v>
      </c>
      <c r="C257" s="26" t="s">
        <v>316</v>
      </c>
      <c r="D257" s="27" t="s">
        <v>315</v>
      </c>
      <c r="E257" s="19">
        <f>0.546-0.246-0.091-(0.001)-0.028-0.032-(0.001)</f>
        <v>0.14700000000000005</v>
      </c>
    </row>
    <row r="258" spans="1:5" ht="51">
      <c r="A258" s="5" t="s">
        <v>63</v>
      </c>
      <c r="B258" s="10" t="s">
        <v>5</v>
      </c>
      <c r="C258" s="23" t="s">
        <v>308</v>
      </c>
      <c r="D258" s="17" t="s">
        <v>314</v>
      </c>
      <c r="E258" s="18">
        <f>0.545-0.211</f>
        <v>0.33400000000000007</v>
      </c>
    </row>
    <row r="259" spans="1:5" ht="51">
      <c r="A259" s="5" t="s">
        <v>63</v>
      </c>
      <c r="B259" s="10" t="s">
        <v>5</v>
      </c>
      <c r="C259" s="23" t="s">
        <v>311</v>
      </c>
      <c r="D259" s="17" t="s">
        <v>188</v>
      </c>
      <c r="E259" s="18">
        <f>22.59-2.062-0.683-0.687-0.689-0.684-2.043-0.684-0.686-2.049-1.368-1.37-0.684-0.69-0.682-0.684-0.682-0.681-0.684-0.68-0.684-0.684-0.686-0.69-0.685-(0.003)</f>
        <v>0.68599999999999739</v>
      </c>
    </row>
    <row r="260" spans="1:5" ht="51">
      <c r="A260" s="5" t="s">
        <v>63</v>
      </c>
      <c r="B260" s="10" t="s">
        <v>5</v>
      </c>
      <c r="C260" s="23" t="s">
        <v>311</v>
      </c>
      <c r="D260" s="17" t="s">
        <v>313</v>
      </c>
      <c r="E260" s="18">
        <f>0.686-0.344-0.276-0.029-(0.005)</f>
        <v>3.2000000000000063E-2</v>
      </c>
    </row>
    <row r="261" spans="1:5" ht="51">
      <c r="A261" s="5" t="s">
        <v>63</v>
      </c>
      <c r="B261" s="10" t="s">
        <v>5</v>
      </c>
      <c r="C261" s="23" t="s">
        <v>311</v>
      </c>
      <c r="D261" s="17" t="s">
        <v>312</v>
      </c>
      <c r="E261" s="18">
        <f>0.684-0.114-0.059+(0.001)-0.172-0.228-(0.002)-0.052</f>
        <v>5.8000000000000128E-2</v>
      </c>
    </row>
    <row r="262" spans="1:5" ht="51">
      <c r="A262" s="5" t="s">
        <v>63</v>
      </c>
      <c r="B262" s="10" t="s">
        <v>5</v>
      </c>
      <c r="C262" s="23" t="s">
        <v>311</v>
      </c>
      <c r="D262" s="17" t="s">
        <v>310</v>
      </c>
      <c r="E262" s="18">
        <f>0.686-0.115-0.144-0.343-(0.001)</f>
        <v>8.3000000000000018E-2</v>
      </c>
    </row>
    <row r="263" spans="1:5" ht="51">
      <c r="A263" s="5" t="s">
        <v>63</v>
      </c>
      <c r="B263" s="10" t="s">
        <v>5</v>
      </c>
      <c r="C263" s="23" t="s">
        <v>308</v>
      </c>
      <c r="D263" s="17" t="s">
        <v>309</v>
      </c>
      <c r="E263" s="18">
        <f>3.443-3.101-0.217-0.029-(0.001)</f>
        <v>9.5000000000000084E-2</v>
      </c>
    </row>
    <row r="264" spans="1:5" ht="51">
      <c r="A264" s="5" t="s">
        <v>63</v>
      </c>
      <c r="B264" s="10" t="s">
        <v>5</v>
      </c>
      <c r="C264" s="23" t="s">
        <v>308</v>
      </c>
      <c r="D264" s="27" t="s">
        <v>185</v>
      </c>
      <c r="E264" s="19">
        <f>23.96-0.827-9.048-0.826-0.82-0.823-1.644-0.842-0.827-4.154-0.824-0.822-0.824-0.824</f>
        <v>0.8550000000000012</v>
      </c>
    </row>
    <row r="265" spans="1:5" ht="51">
      <c r="A265" s="5" t="s">
        <v>63</v>
      </c>
      <c r="B265" s="10" t="s">
        <v>5</v>
      </c>
      <c r="C265" s="23" t="s">
        <v>308</v>
      </c>
      <c r="D265" s="27" t="s">
        <v>307</v>
      </c>
      <c r="E265" s="19">
        <f>0.822-0.034</f>
        <v>0.78799999999999992</v>
      </c>
    </row>
    <row r="266" spans="1:5" ht="51">
      <c r="A266" s="5" t="s">
        <v>63</v>
      </c>
      <c r="B266" s="10" t="s">
        <v>5</v>
      </c>
      <c r="C266" s="23" t="s">
        <v>306</v>
      </c>
      <c r="D266" s="27" t="s">
        <v>185</v>
      </c>
      <c r="E266" s="19">
        <f>5.964-0.848-2.526</f>
        <v>2.5900000000000007</v>
      </c>
    </row>
    <row r="267" spans="1:5" ht="51">
      <c r="A267" s="5" t="s">
        <v>63</v>
      </c>
      <c r="B267" s="10" t="s">
        <v>5</v>
      </c>
      <c r="C267" s="23" t="s">
        <v>269</v>
      </c>
      <c r="D267" s="23" t="s">
        <v>305</v>
      </c>
      <c r="E267" s="19">
        <f>0.982-0.486-0.082-(0.002)-0.042-0.084-0.084-(0.002)-0.043-(0.001)</f>
        <v>0.15599999999999997</v>
      </c>
    </row>
    <row r="268" spans="1:5" ht="51">
      <c r="A268" s="5" t="s">
        <v>63</v>
      </c>
      <c r="B268" s="10" t="s">
        <v>5</v>
      </c>
      <c r="C268" s="23" t="s">
        <v>296</v>
      </c>
      <c r="D268" s="27" t="s">
        <v>218</v>
      </c>
      <c r="E268" s="25">
        <f>2.982-1.96</f>
        <v>1.0220000000000002</v>
      </c>
    </row>
    <row r="269" spans="1:5" ht="51">
      <c r="A269" s="5" t="s">
        <v>63</v>
      </c>
      <c r="B269" s="10" t="s">
        <v>5</v>
      </c>
      <c r="C269" s="23" t="s">
        <v>269</v>
      </c>
      <c r="D269" s="23" t="s">
        <v>304</v>
      </c>
      <c r="E269" s="19">
        <f>1.106-0.662-(0.002)</f>
        <v>0.44200000000000006</v>
      </c>
    </row>
    <row r="270" spans="1:5" ht="51">
      <c r="A270" s="5" t="s">
        <v>63</v>
      </c>
      <c r="B270" s="10" t="s">
        <v>5</v>
      </c>
      <c r="C270" s="23" t="s">
        <v>303</v>
      </c>
      <c r="D270" s="27" t="s">
        <v>302</v>
      </c>
      <c r="E270" s="25">
        <f>3.195-1.03-1.043-0.053-(0.073)-0.109-(0.001)-0.088-0.194-(0.001)-0.106-(0.001)</f>
        <v>0.49600000000000033</v>
      </c>
    </row>
    <row r="271" spans="1:5" ht="51">
      <c r="A271" s="5" t="s">
        <v>63</v>
      </c>
      <c r="B271" s="10" t="s">
        <v>5</v>
      </c>
      <c r="C271" s="23" t="s">
        <v>269</v>
      </c>
      <c r="D271" s="27" t="s">
        <v>301</v>
      </c>
      <c r="E271" s="19">
        <f>3.411-2.25-0.56-(0.035)-0.133</f>
        <v>0.43299999999999994</v>
      </c>
    </row>
    <row r="272" spans="1:5" ht="51">
      <c r="A272" s="5" t="s">
        <v>63</v>
      </c>
      <c r="B272" s="10" t="s">
        <v>5</v>
      </c>
      <c r="C272" s="23" t="s">
        <v>269</v>
      </c>
      <c r="D272" s="27" t="s">
        <v>300</v>
      </c>
      <c r="E272" s="19">
        <f>6.822-5.662-0.755-(0.025)</f>
        <v>0.38000000000000012</v>
      </c>
    </row>
    <row r="273" spans="1:5" ht="51">
      <c r="A273" s="5" t="s">
        <v>63</v>
      </c>
      <c r="B273" s="10" t="s">
        <v>5</v>
      </c>
      <c r="C273" s="23" t="s">
        <v>296</v>
      </c>
      <c r="D273" s="27" t="s">
        <v>299</v>
      </c>
      <c r="E273" s="25">
        <f>1.124-0.06-0.56-0.049</f>
        <v>0.45500000000000002</v>
      </c>
    </row>
    <row r="274" spans="1:5" ht="51">
      <c r="A274" s="5" t="s">
        <v>63</v>
      </c>
      <c r="B274" s="10" t="s">
        <v>5</v>
      </c>
      <c r="C274" s="23" t="s">
        <v>269</v>
      </c>
      <c r="D274" s="27" t="s">
        <v>298</v>
      </c>
      <c r="E274" s="19">
        <f>2.57-1.266-0.102-0.03-0.214-0.204-0.108-0.15-(0.004)</f>
        <v>0.49199999999999977</v>
      </c>
    </row>
    <row r="275" spans="1:5" ht="51">
      <c r="A275" s="5" t="s">
        <v>63</v>
      </c>
      <c r="B275" s="10" t="s">
        <v>5</v>
      </c>
      <c r="C275" s="23" t="s">
        <v>269</v>
      </c>
      <c r="D275" s="27" t="s">
        <v>297</v>
      </c>
      <c r="E275" s="19">
        <f>1.285-0.356-(0.007)-0.39-(0.006)</f>
        <v>0.52599999999999991</v>
      </c>
    </row>
    <row r="276" spans="1:5" ht="51">
      <c r="A276" s="5" t="s">
        <v>63</v>
      </c>
      <c r="B276" s="10" t="s">
        <v>5</v>
      </c>
      <c r="C276" s="23" t="s">
        <v>296</v>
      </c>
      <c r="D276" s="27" t="s">
        <v>295</v>
      </c>
      <c r="E276" s="19">
        <f>2.57-1.266-0.21-(0.038)-0.212-0.108-0.106-(0.002)-0.109</f>
        <v>0.51899999999999991</v>
      </c>
    </row>
    <row r="277" spans="1:5" ht="51">
      <c r="A277" s="5" t="s">
        <v>63</v>
      </c>
      <c r="B277" s="10" t="s">
        <v>5</v>
      </c>
      <c r="C277" s="23" t="s">
        <v>269</v>
      </c>
      <c r="D277" s="27" t="s">
        <v>213</v>
      </c>
      <c r="E277" s="19">
        <f>5.14-1.244-1.252</f>
        <v>2.6440000000000001</v>
      </c>
    </row>
    <row r="278" spans="1:5" ht="51">
      <c r="A278" s="5" t="s">
        <v>63</v>
      </c>
      <c r="B278" s="10" t="s">
        <v>5</v>
      </c>
      <c r="C278" s="23" t="s">
        <v>269</v>
      </c>
      <c r="D278" s="27" t="s">
        <v>294</v>
      </c>
      <c r="E278" s="19">
        <f>1.244-0.35-0.352-0.211-(0.001)-0.21-(0.002)</f>
        <v>0.11800000000000008</v>
      </c>
    </row>
    <row r="279" spans="1:5" ht="51">
      <c r="A279" s="5" t="s">
        <v>63</v>
      </c>
      <c r="B279" s="10" t="s">
        <v>5</v>
      </c>
      <c r="C279" s="23" t="s">
        <v>269</v>
      </c>
      <c r="D279" s="27" t="s">
        <v>293</v>
      </c>
      <c r="E279" s="19">
        <f>1.366-0.756-0.196-0.026-0.059-(0.003)-0.245</f>
        <v>8.1000000000000072E-2</v>
      </c>
    </row>
    <row r="280" spans="1:5" ht="51">
      <c r="A280" s="5" t="s">
        <v>63</v>
      </c>
      <c r="B280" s="10" t="s">
        <v>5</v>
      </c>
      <c r="C280" s="23" t="s">
        <v>291</v>
      </c>
      <c r="D280" s="27" t="s">
        <v>292</v>
      </c>
      <c r="E280" s="19">
        <f>2.856-1.39-(0.038)-0.322-(0.042)-0.468-0.072-(0.003)-0.154-(0.002)-0.06-(0.001)-0.118-(0.001)</f>
        <v>0.18499999999999989</v>
      </c>
    </row>
    <row r="281" spans="1:5" ht="51">
      <c r="A281" s="5" t="s">
        <v>63</v>
      </c>
      <c r="B281" s="10" t="s">
        <v>5</v>
      </c>
      <c r="C281" s="23" t="s">
        <v>291</v>
      </c>
      <c r="D281" s="27" t="s">
        <v>290</v>
      </c>
      <c r="E281" s="19">
        <f>1.39-0.582-0.694-(0.002)</f>
        <v>0.11199999999999999</v>
      </c>
    </row>
    <row r="282" spans="1:5" ht="51">
      <c r="A282" s="5" t="s">
        <v>63</v>
      </c>
      <c r="B282" s="10" t="s">
        <v>5</v>
      </c>
      <c r="C282" s="23" t="s">
        <v>289</v>
      </c>
      <c r="D282" s="27" t="s">
        <v>180</v>
      </c>
      <c r="E282" s="19">
        <f>5.712-1.378-1.388</f>
        <v>2.9459999999999997</v>
      </c>
    </row>
    <row r="283" spans="1:5" ht="51">
      <c r="A283" s="5" t="s">
        <v>63</v>
      </c>
      <c r="B283" s="10" t="s">
        <v>5</v>
      </c>
      <c r="C283" s="23" t="s">
        <v>289</v>
      </c>
      <c r="D283" s="27" t="s">
        <v>288</v>
      </c>
      <c r="E283" s="19">
        <f>1.378-0.228</f>
        <v>1.1499999999999999</v>
      </c>
    </row>
    <row r="284" spans="1:5" ht="51">
      <c r="A284" s="5" t="s">
        <v>63</v>
      </c>
      <c r="B284" s="10" t="s">
        <v>5</v>
      </c>
      <c r="C284" s="23" t="s">
        <v>269</v>
      </c>
      <c r="D284" s="27" t="s">
        <v>287</v>
      </c>
      <c r="E284" s="19">
        <f>3.142-1.544-0.408-(0.072)-0.36-0.066-(0.001)-0.066-(0.002)</f>
        <v>0.623</v>
      </c>
    </row>
    <row r="285" spans="1:5" ht="51">
      <c r="A285" s="5" t="s">
        <v>63</v>
      </c>
      <c r="B285" s="10" t="s">
        <v>5</v>
      </c>
      <c r="C285" s="23" t="s">
        <v>269</v>
      </c>
      <c r="D285" s="27" t="s">
        <v>286</v>
      </c>
      <c r="E285" s="19">
        <f>1.97-0.328-0.332-0.233-(0.003)</f>
        <v>1.0739999999999998</v>
      </c>
    </row>
    <row r="286" spans="1:5" ht="51">
      <c r="A286" s="5" t="s">
        <v>63</v>
      </c>
      <c r="B286" s="10" t="s">
        <v>5</v>
      </c>
      <c r="C286" s="23" t="s">
        <v>269</v>
      </c>
      <c r="D286" s="27" t="s">
        <v>285</v>
      </c>
      <c r="E286" s="19">
        <f>0.084</f>
        <v>8.4000000000000005E-2</v>
      </c>
    </row>
    <row r="287" spans="1:5" ht="51">
      <c r="A287" s="5" t="s">
        <v>63</v>
      </c>
      <c r="B287" s="10" t="s">
        <v>5</v>
      </c>
      <c r="C287" s="23" t="s">
        <v>269</v>
      </c>
      <c r="D287" s="27" t="s">
        <v>284</v>
      </c>
      <c r="E287" s="19">
        <f>0.042</f>
        <v>4.2000000000000003E-2</v>
      </c>
    </row>
    <row r="288" spans="1:5" ht="51">
      <c r="A288" s="5" t="s">
        <v>63</v>
      </c>
      <c r="B288" s="10" t="s">
        <v>5</v>
      </c>
      <c r="C288" s="23" t="s">
        <v>269</v>
      </c>
      <c r="D288" s="27" t="s">
        <v>283</v>
      </c>
      <c r="E288" s="19">
        <f>4.284-3.146-(0.094)-0.353</f>
        <v>0.69099999999999984</v>
      </c>
    </row>
    <row r="289" spans="1:5" ht="51">
      <c r="A289" s="5" t="s">
        <v>63</v>
      </c>
      <c r="B289" s="10" t="s">
        <v>5</v>
      </c>
      <c r="C289" s="23" t="s">
        <v>269</v>
      </c>
      <c r="D289" s="27" t="s">
        <v>282</v>
      </c>
      <c r="E289" s="19">
        <f>8.568-2.114-2.094-(0.076)-2.092-(0.05)</f>
        <v>2.1419999999999999</v>
      </c>
    </row>
    <row r="290" spans="1:5" ht="51">
      <c r="A290" s="5" t="s">
        <v>63</v>
      </c>
      <c r="B290" s="10" t="s">
        <v>5</v>
      </c>
      <c r="C290" s="23" t="s">
        <v>269</v>
      </c>
      <c r="D290" s="27" t="s">
        <v>282</v>
      </c>
      <c r="E290" s="19">
        <f>8.568</f>
        <v>8.5679999999999996</v>
      </c>
    </row>
    <row r="291" spans="1:5" ht="51">
      <c r="A291" s="5" t="s">
        <v>63</v>
      </c>
      <c r="B291" s="10" t="s">
        <v>5</v>
      </c>
      <c r="C291" s="23" t="s">
        <v>269</v>
      </c>
      <c r="D291" s="27" t="s">
        <v>281</v>
      </c>
      <c r="E291" s="19">
        <f>2.54</f>
        <v>2.54</v>
      </c>
    </row>
    <row r="292" spans="1:5" ht="51">
      <c r="A292" s="5" t="s">
        <v>63</v>
      </c>
      <c r="B292" s="10" t="s">
        <v>5</v>
      </c>
      <c r="C292" s="23" t="s">
        <v>269</v>
      </c>
      <c r="D292" s="27" t="s">
        <v>280</v>
      </c>
      <c r="E292" s="19">
        <f>2.58-0.638-0.304-0.648-(0.004)-0.648-0.214-(0.004)</f>
        <v>0.12000000000000008</v>
      </c>
    </row>
    <row r="293" spans="1:5" ht="51">
      <c r="A293" s="5" t="s">
        <v>63</v>
      </c>
      <c r="B293" s="10" t="s">
        <v>5</v>
      </c>
      <c r="C293" s="23" t="s">
        <v>269</v>
      </c>
      <c r="D293" s="27" t="s">
        <v>279</v>
      </c>
      <c r="E293" s="19">
        <f>5.14-2.56-0.624-0.23-(0.012)-1.284-(0.001)</f>
        <v>0.42899999999999949</v>
      </c>
    </row>
    <row r="294" spans="1:5" ht="51">
      <c r="A294" s="5" t="s">
        <v>63</v>
      </c>
      <c r="B294" s="10" t="s">
        <v>5</v>
      </c>
      <c r="C294" s="23" t="s">
        <v>269</v>
      </c>
      <c r="D294" s="27" t="s">
        <v>278</v>
      </c>
      <c r="E294" s="19">
        <f>0.23</f>
        <v>0.23</v>
      </c>
    </row>
    <row r="295" spans="1:5" ht="51">
      <c r="A295" s="5" t="s">
        <v>63</v>
      </c>
      <c r="B295" s="10" t="s">
        <v>5</v>
      </c>
      <c r="C295" s="23" t="s">
        <v>269</v>
      </c>
      <c r="D295" s="27" t="s">
        <v>277</v>
      </c>
      <c r="E295" s="19">
        <f>2.53-1.72-(0.029)-0.122-(0.017)-0.447-(0.001)</f>
        <v>0.19399999999999978</v>
      </c>
    </row>
    <row r="296" spans="1:5" ht="51">
      <c r="A296" s="5" t="s">
        <v>63</v>
      </c>
      <c r="B296" s="10" t="s">
        <v>5</v>
      </c>
      <c r="C296" s="23" t="s">
        <v>269</v>
      </c>
      <c r="D296" s="27" t="s">
        <v>276</v>
      </c>
      <c r="E296" s="19">
        <f>2.94-0.246-1.028-(0.004)-0.306-0.098-(0.004)</f>
        <v>1.2539999999999998</v>
      </c>
    </row>
    <row r="297" spans="1:5" ht="51">
      <c r="A297" s="5" t="s">
        <v>63</v>
      </c>
      <c r="B297" s="10" t="s">
        <v>5</v>
      </c>
      <c r="C297" s="23" t="s">
        <v>269</v>
      </c>
      <c r="D297" s="27" t="s">
        <v>275</v>
      </c>
      <c r="E297" s="19">
        <f>3.56-1.798-(0.088)-0.598-(0.008)-0.6-(0.002)-0.126-(0.002)</f>
        <v>0.33800000000000008</v>
      </c>
    </row>
    <row r="298" spans="1:5" ht="51">
      <c r="A298" s="5" t="s">
        <v>63</v>
      </c>
      <c r="B298" s="10" t="s">
        <v>5</v>
      </c>
      <c r="C298" s="23" t="s">
        <v>269</v>
      </c>
      <c r="D298" s="27" t="s">
        <v>274</v>
      </c>
      <c r="E298" s="19">
        <f>3.74-1.808-(0.142)-0.032-0.222-(0.02)-1.21-(0.004)</f>
        <v>0.30200000000000027</v>
      </c>
    </row>
    <row r="299" spans="1:5" ht="51">
      <c r="A299" s="5" t="s">
        <v>63</v>
      </c>
      <c r="B299" s="10" t="s">
        <v>5</v>
      </c>
      <c r="C299" s="23" t="s">
        <v>269</v>
      </c>
      <c r="D299" s="27" t="s">
        <v>273</v>
      </c>
      <c r="E299" s="19">
        <f>3.78-0.905-(0.163)-0.186-(0.01)</f>
        <v>2.5160000000000005</v>
      </c>
    </row>
    <row r="300" spans="1:5" ht="51">
      <c r="A300" s="5" t="s">
        <v>63</v>
      </c>
      <c r="B300" s="10" t="s">
        <v>5</v>
      </c>
      <c r="C300" s="23" t="s">
        <v>269</v>
      </c>
      <c r="D300" s="27" t="s">
        <v>271</v>
      </c>
      <c r="E300" s="19">
        <f>3.74</f>
        <v>3.74</v>
      </c>
    </row>
    <row r="301" spans="1:5" ht="51">
      <c r="A301" s="5" t="s">
        <v>63</v>
      </c>
      <c r="B301" s="10" t="s">
        <v>5</v>
      </c>
      <c r="C301" s="23" t="s">
        <v>272</v>
      </c>
      <c r="D301" s="27" t="s">
        <v>271</v>
      </c>
      <c r="E301" s="19">
        <f>3.62</f>
        <v>3.62</v>
      </c>
    </row>
    <row r="302" spans="1:5" ht="51">
      <c r="A302" s="5" t="s">
        <v>63</v>
      </c>
      <c r="B302" s="10" t="s">
        <v>5</v>
      </c>
      <c r="C302" s="23" t="s">
        <v>269</v>
      </c>
      <c r="D302" s="27" t="s">
        <v>270</v>
      </c>
      <c r="E302" s="19">
        <f>22.52-13.5-4.496-1.212-1.126-(0.013)-0.193-0.528-(0.01)</f>
        <v>1.4419999999999995</v>
      </c>
    </row>
    <row r="303" spans="1:5" ht="51">
      <c r="A303" s="5" t="s">
        <v>63</v>
      </c>
      <c r="B303" s="10" t="s">
        <v>5</v>
      </c>
      <c r="C303" s="23" t="s">
        <v>269</v>
      </c>
      <c r="D303" s="27" t="s">
        <v>268</v>
      </c>
      <c r="E303" s="19">
        <f>9.15-4.55-2.262-(0.062)</f>
        <v>2.2760000000000007</v>
      </c>
    </row>
    <row r="304" spans="1:5" ht="51">
      <c r="A304" s="5" t="s">
        <v>63</v>
      </c>
      <c r="B304" s="10" t="s">
        <v>5</v>
      </c>
      <c r="C304" s="27" t="s">
        <v>252</v>
      </c>
      <c r="D304" s="27" t="s">
        <v>267</v>
      </c>
      <c r="E304" s="19">
        <f>7.12-3.602</f>
        <v>3.5180000000000002</v>
      </c>
    </row>
    <row r="305" spans="1:5" ht="51">
      <c r="A305" s="5" t="s">
        <v>63</v>
      </c>
      <c r="B305" s="10" t="s">
        <v>5</v>
      </c>
      <c r="C305" s="27" t="s">
        <v>252</v>
      </c>
      <c r="D305" s="27" t="s">
        <v>266</v>
      </c>
      <c r="E305" s="19">
        <f>3.602-2.326-0.408-(0.018)-0.224-(0.003)-0.203-(0.003)</f>
        <v>0.41699999999999987</v>
      </c>
    </row>
    <row r="306" spans="1:5" ht="51">
      <c r="A306" s="5" t="s">
        <v>63</v>
      </c>
      <c r="B306" s="10" t="s">
        <v>5</v>
      </c>
      <c r="C306" s="27" t="s">
        <v>252</v>
      </c>
      <c r="D306" s="27" t="s">
        <v>265</v>
      </c>
      <c r="E306" s="19">
        <f>4.76</f>
        <v>4.76</v>
      </c>
    </row>
    <row r="307" spans="1:5" ht="51">
      <c r="A307" s="5" t="s">
        <v>63</v>
      </c>
      <c r="B307" s="10" t="s">
        <v>5</v>
      </c>
      <c r="C307" s="27" t="s">
        <v>252</v>
      </c>
      <c r="D307" s="27" t="s">
        <v>264</v>
      </c>
      <c r="E307" s="19">
        <f>1.96-0.134-0.21-(0.036)-0.968-0.314-(0.004)</f>
        <v>0.29400000000000009</v>
      </c>
    </row>
    <row r="308" spans="1:5" ht="51">
      <c r="A308" s="5" t="s">
        <v>63</v>
      </c>
      <c r="B308" s="10" t="s">
        <v>5</v>
      </c>
      <c r="C308" s="27" t="s">
        <v>255</v>
      </c>
      <c r="D308" s="27" t="s">
        <v>263</v>
      </c>
      <c r="E308" s="19">
        <f>3.07-2.082-(0.074)-0.412-(0.006)-0.144</f>
        <v>0.35199999999999998</v>
      </c>
    </row>
    <row r="309" spans="1:5" ht="51">
      <c r="A309" s="5" t="s">
        <v>63</v>
      </c>
      <c r="B309" s="10" t="s">
        <v>5</v>
      </c>
      <c r="C309" s="27" t="s">
        <v>255</v>
      </c>
      <c r="D309" s="27" t="s">
        <v>262</v>
      </c>
      <c r="E309" s="19">
        <f>9.88-4.77-3.046-(0.316)</f>
        <v>1.7480000000000013</v>
      </c>
    </row>
    <row r="310" spans="1:5" ht="51">
      <c r="A310" s="5" t="s">
        <v>63</v>
      </c>
      <c r="B310" s="10" t="s">
        <v>5</v>
      </c>
      <c r="C310" s="27" t="s">
        <v>255</v>
      </c>
      <c r="D310" s="27" t="s">
        <v>261</v>
      </c>
      <c r="E310" s="19">
        <f>4.78-3.22+(0.024)-0.355</f>
        <v>1.2290000000000001</v>
      </c>
    </row>
    <row r="311" spans="1:5" ht="51">
      <c r="A311" s="5" t="s">
        <v>63</v>
      </c>
      <c r="B311" s="10" t="s">
        <v>5</v>
      </c>
      <c r="C311" s="27" t="s">
        <v>255</v>
      </c>
      <c r="D311" s="27" t="s">
        <v>260</v>
      </c>
      <c r="E311" s="19">
        <f>4.91-0.47-(0.094)-2.792-(0.01)-0.566-(0.006)</f>
        <v>0.97200000000000031</v>
      </c>
    </row>
    <row r="312" spans="1:5" ht="51">
      <c r="A312" s="5" t="s">
        <v>63</v>
      </c>
      <c r="B312" s="10" t="s">
        <v>5</v>
      </c>
      <c r="C312" s="27" t="s">
        <v>255</v>
      </c>
      <c r="D312" s="27" t="s">
        <v>259</v>
      </c>
      <c r="E312" s="25">
        <f>4.8-1.782-(0.018)-0.498-(0.006)-0.6-(0.004)-0.97-(0.004)-0.506-(0.07)</f>
        <v>0.34199999999999992</v>
      </c>
    </row>
    <row r="313" spans="1:5" ht="51">
      <c r="A313" s="5" t="s">
        <v>63</v>
      </c>
      <c r="B313" s="10" t="s">
        <v>5</v>
      </c>
      <c r="C313" s="27" t="s">
        <v>258</v>
      </c>
      <c r="D313" s="27" t="s">
        <v>257</v>
      </c>
      <c r="E313" s="25">
        <f>4.83-0.556-(0.038)-2.968-(0.008)</f>
        <v>1.2599999999999998</v>
      </c>
    </row>
    <row r="314" spans="1:5" ht="51">
      <c r="A314" s="5" t="s">
        <v>63</v>
      </c>
      <c r="B314" s="10" t="s">
        <v>5</v>
      </c>
      <c r="C314" s="27" t="s">
        <v>255</v>
      </c>
      <c r="D314" s="27" t="s">
        <v>256</v>
      </c>
      <c r="E314" s="19">
        <f>4.77-1.07-(0.032)</f>
        <v>3.6679999999999993</v>
      </c>
    </row>
    <row r="315" spans="1:5" ht="51">
      <c r="A315" s="5" t="s">
        <v>63</v>
      </c>
      <c r="B315" s="10" t="s">
        <v>5</v>
      </c>
      <c r="C315" s="27" t="s">
        <v>255</v>
      </c>
      <c r="D315" s="27" t="s">
        <v>254</v>
      </c>
      <c r="E315" s="19">
        <f>2.88-0.872-0.27+(0.018)</f>
        <v>1.756</v>
      </c>
    </row>
    <row r="316" spans="1:5" ht="51">
      <c r="A316" s="5" t="s">
        <v>63</v>
      </c>
      <c r="B316" s="10" t="s">
        <v>5</v>
      </c>
      <c r="C316" s="27" t="s">
        <v>252</v>
      </c>
      <c r="D316" s="27" t="s">
        <v>253</v>
      </c>
      <c r="E316" s="19">
        <f>9.26-4.63</f>
        <v>4.63</v>
      </c>
    </row>
    <row r="317" spans="1:5" ht="51">
      <c r="A317" s="5" t="s">
        <v>63</v>
      </c>
      <c r="B317" s="10" t="s">
        <v>5</v>
      </c>
      <c r="C317" s="27" t="s">
        <v>252</v>
      </c>
      <c r="D317" s="27" t="s">
        <v>251</v>
      </c>
      <c r="E317" s="19">
        <f>4.63-3.214-(0.032)</f>
        <v>1.3839999999999999</v>
      </c>
    </row>
    <row r="318" spans="1:5" ht="51">
      <c r="A318" s="5" t="s">
        <v>63</v>
      </c>
      <c r="B318" s="10" t="s">
        <v>5</v>
      </c>
      <c r="C318" s="27" t="s">
        <v>244</v>
      </c>
      <c r="D318" s="27" t="s">
        <v>250</v>
      </c>
      <c r="E318" s="19">
        <f>9.37-4.685</f>
        <v>4.6849999999999996</v>
      </c>
    </row>
    <row r="319" spans="1:5" ht="51">
      <c r="A319" s="5" t="s">
        <v>63</v>
      </c>
      <c r="B319" s="10" t="s">
        <v>5</v>
      </c>
      <c r="C319" s="27" t="s">
        <v>244</v>
      </c>
      <c r="D319" s="27" t="s">
        <v>249</v>
      </c>
      <c r="E319" s="19">
        <f>4.685-1.984-(0.031)-1.784-(0.012)</f>
        <v>0.87399999999999944</v>
      </c>
    </row>
    <row r="320" spans="1:5" ht="51">
      <c r="A320" s="5" t="s">
        <v>63</v>
      </c>
      <c r="B320" s="10" t="s">
        <v>5</v>
      </c>
      <c r="C320" s="27" t="s">
        <v>244</v>
      </c>
      <c r="D320" s="27" t="s">
        <v>248</v>
      </c>
      <c r="E320" s="19">
        <f>2.6-1.254+(0.104)-0.35-0.14-0.643</f>
        <v>0.31700000000000006</v>
      </c>
    </row>
    <row r="321" spans="1:5" ht="51">
      <c r="A321" s="5" t="s">
        <v>63</v>
      </c>
      <c r="B321" s="10" t="s">
        <v>5</v>
      </c>
      <c r="C321" s="27" t="s">
        <v>244</v>
      </c>
      <c r="D321" s="27" t="s">
        <v>247</v>
      </c>
      <c r="E321" s="19">
        <f>5.55-2.775-0.398+(0.083)-0.695</f>
        <v>1.7650000000000001</v>
      </c>
    </row>
    <row r="322" spans="1:5" ht="51">
      <c r="A322" s="5" t="s">
        <v>63</v>
      </c>
      <c r="B322" s="10" t="s">
        <v>5</v>
      </c>
      <c r="C322" s="27" t="s">
        <v>246</v>
      </c>
      <c r="D322" s="27" t="s">
        <v>245</v>
      </c>
      <c r="E322" s="19">
        <f>4.56-0.988-0.978-(0.014)-1.284-(0.01)-0.358-0.506-(0.014)</f>
        <v>0.40799999999999959</v>
      </c>
    </row>
    <row r="323" spans="1:5" ht="51">
      <c r="A323" s="5" t="s">
        <v>63</v>
      </c>
      <c r="B323" s="10" t="s">
        <v>5</v>
      </c>
      <c r="C323" s="27" t="s">
        <v>244</v>
      </c>
      <c r="D323" s="27" t="s">
        <v>243</v>
      </c>
      <c r="E323" s="19">
        <f>2.71</f>
        <v>2.71</v>
      </c>
    </row>
    <row r="324" spans="1:5" ht="51">
      <c r="A324" s="5" t="s">
        <v>63</v>
      </c>
      <c r="B324" s="10" t="s">
        <v>5</v>
      </c>
      <c r="C324" s="27" t="s">
        <v>242</v>
      </c>
      <c r="D324" s="27" t="s">
        <v>241</v>
      </c>
      <c r="E324" s="19">
        <f>5-4.018+(0.048)-0.401-(0.043)</f>
        <v>0.58600000000000019</v>
      </c>
    </row>
    <row r="325" spans="1:5" ht="51">
      <c r="A325" s="5" t="s">
        <v>63</v>
      </c>
      <c r="B325" s="9" t="s">
        <v>10</v>
      </c>
      <c r="C325" s="23" t="s">
        <v>336</v>
      </c>
      <c r="D325" s="14" t="s">
        <v>337</v>
      </c>
      <c r="E325" s="16">
        <f>2.556-0.85-0.854-0.21-(0.012)-0.088-0.141-0.015-(0.002)-0.278-(0.001)</f>
        <v>0.10499999999999998</v>
      </c>
    </row>
    <row r="326" spans="1:5" ht="51">
      <c r="A326" s="5" t="s">
        <v>63</v>
      </c>
      <c r="B326" s="9" t="s">
        <v>10</v>
      </c>
      <c r="C326" s="23" t="s">
        <v>336</v>
      </c>
      <c r="D326" s="14" t="s">
        <v>338</v>
      </c>
      <c r="E326" s="16">
        <f>2.556-1.702-0.068+(0.001)-0.358</f>
        <v>0.42900000000000005</v>
      </c>
    </row>
    <row r="327" spans="1:5" ht="51">
      <c r="A327" s="5" t="s">
        <v>63</v>
      </c>
      <c r="B327" s="9" t="s">
        <v>10</v>
      </c>
      <c r="C327" s="23" t="s">
        <v>336</v>
      </c>
      <c r="D327" s="14" t="s">
        <v>185</v>
      </c>
      <c r="E327" s="16">
        <f>2.556-0.854</f>
        <v>1.702</v>
      </c>
    </row>
    <row r="328" spans="1:5" ht="51">
      <c r="A328" s="5" t="s">
        <v>63</v>
      </c>
      <c r="B328" s="9" t="s">
        <v>10</v>
      </c>
      <c r="C328" s="23" t="s">
        <v>336</v>
      </c>
      <c r="D328" s="14" t="s">
        <v>339</v>
      </c>
      <c r="E328" s="16">
        <f>1.028</f>
        <v>1.028</v>
      </c>
    </row>
    <row r="329" spans="1:5" ht="51">
      <c r="A329" s="5" t="s">
        <v>63</v>
      </c>
      <c r="B329" s="9" t="s">
        <v>10</v>
      </c>
      <c r="C329" s="23" t="s">
        <v>336</v>
      </c>
      <c r="D329" s="14" t="s">
        <v>218</v>
      </c>
      <c r="E329" s="16">
        <f>2.982-0.993-0.978</f>
        <v>1.0110000000000003</v>
      </c>
    </row>
    <row r="330" spans="1:5" ht="51">
      <c r="A330" s="5" t="s">
        <v>63</v>
      </c>
      <c r="B330" s="9" t="s">
        <v>10</v>
      </c>
      <c r="C330" s="23" t="s">
        <v>336</v>
      </c>
      <c r="D330" s="14" t="s">
        <v>340</v>
      </c>
      <c r="E330" s="16">
        <f>0.978-0.568-0.042-(0.002)</f>
        <v>0.36600000000000005</v>
      </c>
    </row>
    <row r="331" spans="1:5" ht="51">
      <c r="A331" s="5" t="s">
        <v>63</v>
      </c>
      <c r="B331" s="9" t="s">
        <v>10</v>
      </c>
      <c r="C331" s="23" t="s">
        <v>336</v>
      </c>
      <c r="D331" s="14" t="s">
        <v>218</v>
      </c>
      <c r="E331" s="16">
        <f>4.97</f>
        <v>4.97</v>
      </c>
    </row>
    <row r="332" spans="1:5" ht="51">
      <c r="A332" s="5" t="s">
        <v>63</v>
      </c>
      <c r="B332" s="10" t="s">
        <v>10</v>
      </c>
      <c r="C332" s="23" t="s">
        <v>341</v>
      </c>
      <c r="D332" s="14" t="s">
        <v>342</v>
      </c>
      <c r="E332" s="16">
        <f>1.134-0.282-0.05-(0.002)-0.05-0.273-(0.009)-0.078-(0.002)-0.156-0.09-(0.001)-0.04-(0.001)</f>
        <v>9.9999999999999728E-2</v>
      </c>
    </row>
    <row r="333" spans="1:5" ht="51">
      <c r="A333" s="5" t="s">
        <v>63</v>
      </c>
      <c r="B333" s="9" t="s">
        <v>10</v>
      </c>
      <c r="C333" s="23" t="s">
        <v>341</v>
      </c>
      <c r="D333" s="21" t="s">
        <v>343</v>
      </c>
      <c r="E333" s="16">
        <f>1.126-0.094-0.526-0.19-0.048-(0.002)-0.048-0.096</f>
        <v>0.1219999999999998</v>
      </c>
    </row>
    <row r="334" spans="1:5" ht="51">
      <c r="A334" s="5" t="s">
        <v>63</v>
      </c>
      <c r="B334" s="9" t="s">
        <v>10</v>
      </c>
      <c r="C334" s="23" t="s">
        <v>341</v>
      </c>
      <c r="D334" s="14" t="s">
        <v>344</v>
      </c>
      <c r="E334" s="16">
        <f>1.124-0.172-0.048+(0.001)</f>
        <v>0.90500000000000014</v>
      </c>
    </row>
    <row r="335" spans="1:5" ht="51">
      <c r="A335" s="5" t="s">
        <v>63</v>
      </c>
      <c r="B335" s="9" t="s">
        <v>10</v>
      </c>
      <c r="C335" s="23" t="s">
        <v>341</v>
      </c>
      <c r="D335" s="14" t="s">
        <v>345</v>
      </c>
      <c r="E335" s="16">
        <f>3.032-1.5</f>
        <v>1.532</v>
      </c>
    </row>
    <row r="336" spans="1:5" ht="51">
      <c r="A336" s="5" t="s">
        <v>63</v>
      </c>
      <c r="B336" s="10" t="s">
        <v>10</v>
      </c>
      <c r="C336" s="23" t="s">
        <v>341</v>
      </c>
      <c r="D336" s="21" t="s">
        <v>346</v>
      </c>
      <c r="E336" s="16">
        <f>2.856-1.434-0.083+(0.001)</f>
        <v>1.3399999999999999</v>
      </c>
    </row>
    <row r="337" spans="1:5" ht="51">
      <c r="A337" s="5" t="s">
        <v>63</v>
      </c>
      <c r="B337" s="10" t="s">
        <v>10</v>
      </c>
      <c r="C337" s="23" t="s">
        <v>347</v>
      </c>
      <c r="D337" s="14" t="s">
        <v>348</v>
      </c>
      <c r="E337" s="30">
        <f>3.57-1.768</f>
        <v>1.8019999999999998</v>
      </c>
    </row>
    <row r="338" spans="1:5" ht="51">
      <c r="A338" s="5" t="s">
        <v>63</v>
      </c>
      <c r="B338" s="10" t="s">
        <v>10</v>
      </c>
      <c r="C338" s="23" t="s">
        <v>347</v>
      </c>
      <c r="D338" s="14" t="s">
        <v>349</v>
      </c>
      <c r="E338" s="30">
        <f>1.768-0.884</f>
        <v>0.88400000000000001</v>
      </c>
    </row>
    <row r="339" spans="1:5" ht="51">
      <c r="A339" s="5" t="s">
        <v>63</v>
      </c>
      <c r="B339" s="10" t="s">
        <v>10</v>
      </c>
      <c r="C339" s="23" t="s">
        <v>341</v>
      </c>
      <c r="D339" s="14" t="s">
        <v>350</v>
      </c>
      <c r="E339" s="16">
        <f>2.142-0.322-0.24-(0.036)-0.108-0.08-(0.002)-1.058-(0.004)-0.044-0.024-0.044-0.054-(0.016)</f>
        <v>0.10999999999999961</v>
      </c>
    </row>
    <row r="340" spans="1:5" ht="51">
      <c r="A340" s="5" t="s">
        <v>63</v>
      </c>
      <c r="B340" s="9" t="s">
        <v>10</v>
      </c>
      <c r="C340" s="23" t="s">
        <v>341</v>
      </c>
      <c r="D340" s="14" t="s">
        <v>351</v>
      </c>
      <c r="E340" s="16">
        <f>2.11-1.05-0.396-(0.004)-0.144-0.288-(0.004)-0.068-(0.012)</f>
        <v>0.14399999999999979</v>
      </c>
    </row>
    <row r="341" spans="1:5" ht="51">
      <c r="A341" s="5" t="s">
        <v>63</v>
      </c>
      <c r="B341" s="9" t="s">
        <v>10</v>
      </c>
      <c r="C341" s="23" t="s">
        <v>352</v>
      </c>
      <c r="D341" s="14" t="s">
        <v>353</v>
      </c>
      <c r="E341" s="16">
        <f>4.284-2.142-1.412-(0.032)-0.18-0.176-(0.01)-0.176-(0.002)</f>
        <v>0.15400000000000003</v>
      </c>
    </row>
    <row r="342" spans="1:5" ht="51">
      <c r="A342" s="5" t="s">
        <v>63</v>
      </c>
      <c r="B342" s="9" t="s">
        <v>10</v>
      </c>
      <c r="C342" s="23" t="s">
        <v>341</v>
      </c>
      <c r="D342" s="14" t="s">
        <v>354</v>
      </c>
      <c r="E342" s="16">
        <f>2.101-0.881-0.355-0.179-(0.001)</f>
        <v>0.68499999999999994</v>
      </c>
    </row>
    <row r="343" spans="1:5" ht="51">
      <c r="A343" s="5" t="s">
        <v>63</v>
      </c>
      <c r="B343" s="9" t="s">
        <v>10</v>
      </c>
      <c r="C343" s="23" t="s">
        <v>341</v>
      </c>
      <c r="D343" s="14" t="s">
        <v>355</v>
      </c>
      <c r="E343" s="16">
        <f>5.34-2.638-0.134-0.066-(0.106)</f>
        <v>2.3960000000000004</v>
      </c>
    </row>
    <row r="344" spans="1:5" ht="51">
      <c r="A344" s="5" t="s">
        <v>63</v>
      </c>
      <c r="B344" s="9" t="s">
        <v>10</v>
      </c>
      <c r="C344" s="23" t="s">
        <v>341</v>
      </c>
      <c r="D344" s="14" t="s">
        <v>356</v>
      </c>
      <c r="E344" s="16">
        <f>2.994-0.248-0.198-1.496-(0.018)-0.404-(0.01)-0.052-0.038-(0.002)-0.198-0.218-(0.02)</f>
        <v>9.2000000000000345E-2</v>
      </c>
    </row>
    <row r="345" spans="1:5" ht="51">
      <c r="A345" s="5" t="s">
        <v>63</v>
      </c>
      <c r="B345" s="9" t="s">
        <v>10</v>
      </c>
      <c r="C345" s="23" t="s">
        <v>341</v>
      </c>
      <c r="D345" s="14" t="s">
        <v>357</v>
      </c>
      <c r="E345" s="16">
        <f>0.038</f>
        <v>3.7999999999999999E-2</v>
      </c>
    </row>
    <row r="346" spans="1:5" ht="51">
      <c r="A346" s="5" t="s">
        <v>63</v>
      </c>
      <c r="B346" s="9" t="s">
        <v>10</v>
      </c>
      <c r="C346" s="23" t="s">
        <v>358</v>
      </c>
      <c r="D346" s="14" t="s">
        <v>359</v>
      </c>
      <c r="E346" s="16">
        <f>2.894-0.24-1.452-0.162-(0.016)-0.188-0.106-(0.02)-0.218-0.168-(0.006)</f>
        <v>0.31800000000000006</v>
      </c>
    </row>
    <row r="347" spans="1:5" ht="51">
      <c r="A347" s="5" t="s">
        <v>63</v>
      </c>
      <c r="B347" s="9" t="s">
        <v>10</v>
      </c>
      <c r="C347" s="23" t="s">
        <v>358</v>
      </c>
      <c r="D347" s="14" t="s">
        <v>360</v>
      </c>
      <c r="E347" s="16">
        <f>2.876-2.11-0.244-(0.003)</f>
        <v>0.51900000000000002</v>
      </c>
    </row>
    <row r="348" spans="1:5" ht="51">
      <c r="A348" s="5" t="s">
        <v>63</v>
      </c>
      <c r="B348" s="9" t="s">
        <v>10</v>
      </c>
      <c r="C348" s="23" t="s">
        <v>341</v>
      </c>
      <c r="D348" s="14" t="s">
        <v>361</v>
      </c>
      <c r="E348" s="16">
        <f>3.212-2.116-(0.02)-0.374-(0.004)-0.204-(0.014)-0.232-(0.003)</f>
        <v>0.24500000000000008</v>
      </c>
    </row>
    <row r="349" spans="1:5" ht="51">
      <c r="A349" s="5" t="s">
        <v>63</v>
      </c>
      <c r="B349" s="9" t="s">
        <v>10</v>
      </c>
      <c r="C349" s="23" t="s">
        <v>341</v>
      </c>
      <c r="D349" s="14" t="s">
        <v>362</v>
      </c>
      <c r="E349" s="16">
        <f>3.212-0.45-0.198-(0.054)-0.373-(0.001)-0.095-(0.005)</f>
        <v>2.0360000000000005</v>
      </c>
    </row>
    <row r="350" spans="1:5" ht="51">
      <c r="A350" s="5" t="s">
        <v>63</v>
      </c>
      <c r="B350" s="9" t="s">
        <v>10</v>
      </c>
      <c r="C350" s="23" t="s">
        <v>341</v>
      </c>
      <c r="D350" s="14" t="s">
        <v>363</v>
      </c>
      <c r="E350" s="16">
        <f>0.095-0.039</f>
        <v>5.6000000000000001E-2</v>
      </c>
    </row>
    <row r="351" spans="1:5" ht="51">
      <c r="A351" s="5" t="s">
        <v>63</v>
      </c>
      <c r="B351" s="9" t="s">
        <v>10</v>
      </c>
      <c r="C351" s="23" t="s">
        <v>358</v>
      </c>
      <c r="D351" s="14" t="s">
        <v>364</v>
      </c>
      <c r="E351" s="16">
        <f>3.31</f>
        <v>3.31</v>
      </c>
    </row>
    <row r="352" spans="1:5" ht="51">
      <c r="A352" s="5" t="s">
        <v>63</v>
      </c>
      <c r="B352" s="9" t="s">
        <v>10</v>
      </c>
      <c r="C352" s="23" t="s">
        <v>341</v>
      </c>
      <c r="D352" s="14" t="s">
        <v>365</v>
      </c>
      <c r="E352" s="16">
        <f>0.068-0.026</f>
        <v>4.200000000000001E-2</v>
      </c>
    </row>
    <row r="353" spans="1:5" ht="51">
      <c r="A353" s="5" t="s">
        <v>63</v>
      </c>
      <c r="B353" s="9" t="s">
        <v>10</v>
      </c>
      <c r="C353" s="23" t="s">
        <v>341</v>
      </c>
      <c r="D353" s="14" t="s">
        <v>366</v>
      </c>
      <c r="E353" s="16">
        <f>0.046</f>
        <v>4.5999999999999999E-2</v>
      </c>
    </row>
    <row r="354" spans="1:5" ht="51">
      <c r="A354" s="5" t="s">
        <v>63</v>
      </c>
      <c r="B354" s="9" t="s">
        <v>10</v>
      </c>
      <c r="C354" s="23" t="s">
        <v>358</v>
      </c>
      <c r="D354" s="14" t="s">
        <v>367</v>
      </c>
      <c r="E354" s="16">
        <f>3.652-0.918-0.306-1.032-(0.018)-0.492-0.338-(0.003)</f>
        <v>0.54499999999999982</v>
      </c>
    </row>
    <row r="355" spans="1:5" ht="51">
      <c r="A355" s="5" t="s">
        <v>63</v>
      </c>
      <c r="B355" s="9" t="s">
        <v>10</v>
      </c>
      <c r="C355" s="23" t="s">
        <v>358</v>
      </c>
      <c r="D355" s="14" t="s">
        <v>368</v>
      </c>
      <c r="E355" s="16">
        <f>7.35-3.695-1.86-1.236+(0.035)-0.158-0.242</f>
        <v>0.19399999999999973</v>
      </c>
    </row>
    <row r="356" spans="1:5" ht="51">
      <c r="A356" s="5" t="s">
        <v>63</v>
      </c>
      <c r="B356" s="9" t="s">
        <v>10</v>
      </c>
      <c r="C356" s="23" t="s">
        <v>358</v>
      </c>
      <c r="D356" s="14" t="s">
        <v>271</v>
      </c>
      <c r="E356" s="16">
        <f>7.28-3.62-(0.02)</f>
        <v>3.64</v>
      </c>
    </row>
    <row r="357" spans="1:5" ht="51">
      <c r="A357" s="5" t="s">
        <v>63</v>
      </c>
      <c r="B357" s="9" t="s">
        <v>10</v>
      </c>
      <c r="C357" s="23" t="s">
        <v>358</v>
      </c>
      <c r="D357" s="14" t="s">
        <v>271</v>
      </c>
      <c r="E357" s="16">
        <f>3.62</f>
        <v>3.62</v>
      </c>
    </row>
    <row r="358" spans="1:5" ht="51">
      <c r="A358" s="5" t="s">
        <v>63</v>
      </c>
      <c r="B358" s="9" t="s">
        <v>10</v>
      </c>
      <c r="C358" s="23" t="s">
        <v>341</v>
      </c>
      <c r="D358" s="14" t="s">
        <v>369</v>
      </c>
      <c r="E358" s="16">
        <f>0.136</f>
        <v>0.13600000000000001</v>
      </c>
    </row>
    <row r="359" spans="1:5" ht="51">
      <c r="A359" s="5" t="s">
        <v>63</v>
      </c>
      <c r="B359" s="9" t="s">
        <v>10</v>
      </c>
      <c r="C359" s="23" t="s">
        <v>341</v>
      </c>
      <c r="D359" s="14" t="s">
        <v>370</v>
      </c>
      <c r="E359" s="16">
        <f>4.516-1.506-1.169-(0.029)-0.308-0.39-0.042-0.026-(0.022)-0.383-(0.001)-0.32-0.197</f>
        <v>0.12299999999999978</v>
      </c>
    </row>
    <row r="360" spans="1:5" ht="51">
      <c r="A360" s="5" t="s">
        <v>63</v>
      </c>
      <c r="B360" s="9" t="s">
        <v>10</v>
      </c>
      <c r="C360" s="23" t="s">
        <v>341</v>
      </c>
      <c r="D360" s="14" t="s">
        <v>371</v>
      </c>
      <c r="E360" s="16">
        <f>0.308-0.096-0.11</f>
        <v>0.10199999999999999</v>
      </c>
    </row>
    <row r="361" spans="1:5" ht="51">
      <c r="A361" s="5" t="s">
        <v>63</v>
      </c>
      <c r="B361" s="9" t="s">
        <v>10</v>
      </c>
      <c r="C361" s="23" t="s">
        <v>341</v>
      </c>
      <c r="D361" s="14" t="s">
        <v>372</v>
      </c>
      <c r="E361" s="16">
        <f>9.01-4.512-0.24-2.252-0.616+(0.008)-0.202</f>
        <v>1.1960000000000002</v>
      </c>
    </row>
    <row r="362" spans="1:5" ht="51">
      <c r="A362" s="5" t="s">
        <v>63</v>
      </c>
      <c r="B362" s="9" t="s">
        <v>10</v>
      </c>
      <c r="C362" s="23" t="s">
        <v>341</v>
      </c>
      <c r="D362" s="14" t="s">
        <v>373</v>
      </c>
      <c r="E362" s="16">
        <f>0.24-0.15</f>
        <v>0.09</v>
      </c>
    </row>
    <row r="363" spans="1:5" ht="51">
      <c r="A363" s="5" t="s">
        <v>63</v>
      </c>
      <c r="B363" s="9" t="s">
        <v>10</v>
      </c>
      <c r="C363" s="23" t="s">
        <v>341</v>
      </c>
      <c r="D363" s="28" t="s">
        <v>374</v>
      </c>
      <c r="E363" s="31">
        <f>3.06-0.197+(0.039)-0.338</f>
        <v>2.5640000000000001</v>
      </c>
    </row>
    <row r="364" spans="1:5" ht="51">
      <c r="A364" s="5" t="s">
        <v>63</v>
      </c>
      <c r="B364" s="9" t="s">
        <v>10</v>
      </c>
      <c r="C364" s="23" t="s">
        <v>341</v>
      </c>
      <c r="D364" s="28" t="s">
        <v>375</v>
      </c>
      <c r="E364" s="31">
        <f>2.78</f>
        <v>2.78</v>
      </c>
    </row>
    <row r="365" spans="1:5" ht="51">
      <c r="A365" s="5" t="s">
        <v>63</v>
      </c>
      <c r="B365" s="9" t="s">
        <v>10</v>
      </c>
      <c r="C365" s="23" t="s">
        <v>341</v>
      </c>
      <c r="D365" s="28" t="s">
        <v>376</v>
      </c>
      <c r="E365" s="31">
        <f>20.196-10.098</f>
        <v>10.098000000000001</v>
      </c>
    </row>
    <row r="366" spans="1:5" ht="51">
      <c r="A366" s="5" t="s">
        <v>63</v>
      </c>
      <c r="B366" s="9" t="s">
        <v>10</v>
      </c>
      <c r="C366" s="23" t="s">
        <v>341</v>
      </c>
      <c r="D366" s="28" t="s">
        <v>377</v>
      </c>
      <c r="E366" s="31">
        <f>0.08</f>
        <v>0.08</v>
      </c>
    </row>
    <row r="367" spans="1:5" ht="51">
      <c r="A367" s="5" t="s">
        <v>63</v>
      </c>
      <c r="B367" s="9" t="s">
        <v>10</v>
      </c>
      <c r="C367" s="23" t="s">
        <v>341</v>
      </c>
      <c r="D367" s="28" t="s">
        <v>378</v>
      </c>
      <c r="E367" s="31">
        <f>5.865-1.966+(0.053)-0.2-1.476-1.98</f>
        <v>0.29599999999999982</v>
      </c>
    </row>
    <row r="368" spans="1:5" ht="51">
      <c r="A368" s="5" t="s">
        <v>63</v>
      </c>
      <c r="B368" s="9" t="s">
        <v>10</v>
      </c>
      <c r="C368" s="23" t="s">
        <v>358</v>
      </c>
      <c r="D368" s="28" t="s">
        <v>379</v>
      </c>
      <c r="E368" s="31">
        <f>17.88-5.96</f>
        <v>11.919999999999998</v>
      </c>
    </row>
    <row r="369" spans="1:5" ht="51">
      <c r="A369" s="5" t="s">
        <v>63</v>
      </c>
      <c r="B369" s="9" t="s">
        <v>10</v>
      </c>
      <c r="C369" s="23" t="s">
        <v>341</v>
      </c>
      <c r="D369" s="28" t="s">
        <v>380</v>
      </c>
      <c r="E369" s="31">
        <f>2.89-1.152-0.544+0.062-0.592</f>
        <v>0.66400000000000026</v>
      </c>
    </row>
    <row r="370" spans="1:5" ht="51">
      <c r="A370" s="5" t="s">
        <v>63</v>
      </c>
      <c r="B370" s="9" t="s">
        <v>10</v>
      </c>
      <c r="C370" s="23" t="s">
        <v>381</v>
      </c>
      <c r="D370" s="27" t="s">
        <v>382</v>
      </c>
      <c r="E370" s="19">
        <f>0.29</f>
        <v>0.28999999999999998</v>
      </c>
    </row>
    <row r="371" spans="1:5" ht="51">
      <c r="A371" s="5" t="s">
        <v>63</v>
      </c>
      <c r="B371" s="9" t="s">
        <v>10</v>
      </c>
      <c r="C371" s="23" t="s">
        <v>341</v>
      </c>
      <c r="D371" s="28" t="s">
        <v>383</v>
      </c>
      <c r="E371" s="31">
        <f>6.726-0.576-1.422-(0.003)-0.458-(0.057)-0.574-(0.01)-0.08-0.014-(0.002)-0.68-(0.002)</f>
        <v>2.8480000000000008</v>
      </c>
    </row>
    <row r="372" spans="1:5" ht="51">
      <c r="A372" s="5" t="s">
        <v>63</v>
      </c>
      <c r="B372" s="9" t="s">
        <v>10</v>
      </c>
      <c r="C372" s="23" t="s">
        <v>341</v>
      </c>
      <c r="D372" s="28" t="s">
        <v>384</v>
      </c>
      <c r="E372" s="31">
        <f>25.964-6.5-12.982</f>
        <v>6.4819999999999993</v>
      </c>
    </row>
    <row r="373" spans="1:5" ht="51">
      <c r="A373" s="5" t="s">
        <v>63</v>
      </c>
      <c r="B373" s="9" t="s">
        <v>10</v>
      </c>
      <c r="C373" s="23" t="s">
        <v>385</v>
      </c>
      <c r="D373" s="28" t="s">
        <v>386</v>
      </c>
      <c r="E373" s="31">
        <f>19.56-4.902-4.888-4.858-3.446-(0.008)-0.738-(0.006)</f>
        <v>0.71399999999999797</v>
      </c>
    </row>
    <row r="374" spans="1:5" ht="51">
      <c r="A374" s="5" t="s">
        <v>63</v>
      </c>
      <c r="B374" s="9" t="s">
        <v>10</v>
      </c>
      <c r="C374" s="23" t="s">
        <v>385</v>
      </c>
      <c r="D374" s="28" t="s">
        <v>387</v>
      </c>
      <c r="E374" s="31">
        <f>4.888-0.6-1.384-2.512-(0.002)</f>
        <v>0.39000000000000035</v>
      </c>
    </row>
    <row r="375" spans="1:5" ht="51">
      <c r="A375" s="5" t="s">
        <v>63</v>
      </c>
      <c r="B375" s="9" t="s">
        <v>10</v>
      </c>
      <c r="C375" s="23" t="s">
        <v>385</v>
      </c>
      <c r="D375" s="28" t="s">
        <v>388</v>
      </c>
      <c r="E375" s="31">
        <f>4.858-1.016-0.624-(0.012)-1.874-(0.01)-0.632-(0.002)</f>
        <v>0.68799999999999939</v>
      </c>
    </row>
    <row r="376" spans="1:5" ht="51">
      <c r="A376" s="5" t="s">
        <v>63</v>
      </c>
      <c r="B376" s="9" t="s">
        <v>10</v>
      </c>
      <c r="C376" s="23" t="s">
        <v>385</v>
      </c>
      <c r="D376" s="28" t="s">
        <v>389</v>
      </c>
      <c r="E376" s="31">
        <f>9.45-4.725</f>
        <v>4.7249999999999996</v>
      </c>
    </row>
    <row r="377" spans="1:5" ht="51">
      <c r="A377" s="5" t="s">
        <v>63</v>
      </c>
      <c r="B377" s="9" t="s">
        <v>10</v>
      </c>
      <c r="C377" s="23" t="s">
        <v>385</v>
      </c>
      <c r="D377" s="27" t="s">
        <v>390</v>
      </c>
      <c r="E377" s="19">
        <f>4.725-2.508-0.455-(0.012)</f>
        <v>1.7499999999999996</v>
      </c>
    </row>
    <row r="378" spans="1:5" ht="51">
      <c r="A378" s="5" t="s">
        <v>63</v>
      </c>
      <c r="B378" s="9" t="s">
        <v>10</v>
      </c>
      <c r="C378" s="23" t="s">
        <v>385</v>
      </c>
      <c r="D378" s="28" t="s">
        <v>253</v>
      </c>
      <c r="E378" s="31">
        <f>4.6</f>
        <v>4.5999999999999996</v>
      </c>
    </row>
    <row r="379" spans="1:5" ht="51">
      <c r="A379" s="5" t="s">
        <v>63</v>
      </c>
      <c r="B379" s="9" t="s">
        <v>10</v>
      </c>
      <c r="C379" s="23" t="s">
        <v>341</v>
      </c>
      <c r="D379" s="28" t="s">
        <v>391</v>
      </c>
      <c r="E379" s="31">
        <f>14.91-7.46</f>
        <v>7.45</v>
      </c>
    </row>
    <row r="380" spans="1:5" ht="51">
      <c r="A380" s="5" t="s">
        <v>63</v>
      </c>
      <c r="B380" s="9" t="s">
        <v>10</v>
      </c>
      <c r="C380" s="23" t="s">
        <v>341</v>
      </c>
      <c r="D380" s="28" t="s">
        <v>392</v>
      </c>
      <c r="E380" s="31">
        <f>7.46-0.618-(0.032)-0.616-(0.009)</f>
        <v>6.1849999999999996</v>
      </c>
    </row>
    <row r="381" spans="1:5" ht="51">
      <c r="A381" s="5" t="s">
        <v>63</v>
      </c>
      <c r="B381" s="9" t="s">
        <v>10</v>
      </c>
      <c r="C381" s="23" t="s">
        <v>341</v>
      </c>
      <c r="D381" s="28" t="s">
        <v>393</v>
      </c>
      <c r="E381" s="31">
        <f>16.63-8.315</f>
        <v>8.3149999999999995</v>
      </c>
    </row>
    <row r="382" spans="1:5" ht="51">
      <c r="A382" s="5" t="s">
        <v>63</v>
      </c>
      <c r="B382" s="9" t="s">
        <v>10</v>
      </c>
      <c r="C382" s="23" t="s">
        <v>341</v>
      </c>
      <c r="D382" s="28" t="s">
        <v>394</v>
      </c>
      <c r="E382" s="31">
        <f>8.315-0.348-0.286</f>
        <v>7.681</v>
      </c>
    </row>
    <row r="383" spans="1:5" ht="51">
      <c r="A383" s="5" t="s">
        <v>63</v>
      </c>
      <c r="B383" s="9" t="s">
        <v>10</v>
      </c>
      <c r="C383" s="23" t="s">
        <v>341</v>
      </c>
      <c r="D383" s="28" t="s">
        <v>395</v>
      </c>
      <c r="E383" s="31">
        <f>0.286</f>
        <v>0.28599999999999998</v>
      </c>
    </row>
    <row r="384" spans="1:5" ht="51">
      <c r="A384" s="5" t="s">
        <v>63</v>
      </c>
      <c r="B384" s="9" t="s">
        <v>10</v>
      </c>
      <c r="C384" s="23" t="s">
        <v>341</v>
      </c>
      <c r="D384" s="28" t="s">
        <v>396</v>
      </c>
      <c r="E384" s="31">
        <f>17.772-8.886</f>
        <v>8.8859999999999992</v>
      </c>
    </row>
    <row r="385" spans="1:5" ht="51">
      <c r="A385" s="5" t="s">
        <v>63</v>
      </c>
      <c r="B385" s="9" t="s">
        <v>10</v>
      </c>
      <c r="C385" s="23" t="s">
        <v>341</v>
      </c>
      <c r="D385" s="28" t="s">
        <v>397</v>
      </c>
      <c r="E385" s="31">
        <f>8.886-0.33+(0.051)-0.672-1.804-0.752-(0.009)-0.178-0.05-(0.022)</f>
        <v>5.1199999999999992</v>
      </c>
    </row>
    <row r="386" spans="1:5" ht="51">
      <c r="A386" s="5" t="s">
        <v>63</v>
      </c>
      <c r="B386" s="9" t="s">
        <v>10</v>
      </c>
      <c r="C386" s="23" t="s">
        <v>341</v>
      </c>
      <c r="D386" s="28" t="s">
        <v>398</v>
      </c>
      <c r="E386" s="31">
        <f>19.018-9.509-1.596+(0.03)-0.37-0.37-0.37-2.638-0.902-0.301</f>
        <v>2.992</v>
      </c>
    </row>
    <row r="387" spans="1:5" ht="51">
      <c r="A387" s="5" t="s">
        <v>63</v>
      </c>
      <c r="B387" s="9" t="s">
        <v>10</v>
      </c>
      <c r="C387" s="23" t="s">
        <v>341</v>
      </c>
      <c r="D387" s="28" t="s">
        <v>399</v>
      </c>
      <c r="E387" s="31">
        <f>19.92-9.93</f>
        <v>9.990000000000002</v>
      </c>
    </row>
    <row r="388" spans="1:5" ht="51">
      <c r="A388" s="5" t="s">
        <v>63</v>
      </c>
      <c r="B388" s="9" t="s">
        <v>10</v>
      </c>
      <c r="C388" s="23" t="s">
        <v>341</v>
      </c>
      <c r="D388" s="28" t="s">
        <v>400</v>
      </c>
      <c r="E388" s="31">
        <f>18.77-9.36</f>
        <v>9.41</v>
      </c>
    </row>
    <row r="389" spans="1:5" ht="51">
      <c r="A389" s="5" t="s">
        <v>63</v>
      </c>
      <c r="B389" s="9" t="s">
        <v>10</v>
      </c>
      <c r="C389" s="23" t="s">
        <v>341</v>
      </c>
      <c r="D389" s="28" t="s">
        <v>401</v>
      </c>
      <c r="E389" s="31">
        <f>19.772-9.886-0.572-(0.01)-3.968-2.366-0.814</f>
        <v>2.1560000000000001</v>
      </c>
    </row>
    <row r="390" spans="1:5" ht="51">
      <c r="A390" s="5" t="s">
        <v>63</v>
      </c>
      <c r="B390" s="9" t="s">
        <v>10</v>
      </c>
      <c r="C390" s="23" t="s">
        <v>341</v>
      </c>
      <c r="D390" s="28" t="s">
        <v>402</v>
      </c>
      <c r="E390" s="31">
        <f>2.366</f>
        <v>2.3660000000000001</v>
      </c>
    </row>
    <row r="391" spans="1:5" ht="51">
      <c r="A391" s="5" t="s">
        <v>63</v>
      </c>
      <c r="B391" s="9" t="s">
        <v>10</v>
      </c>
      <c r="C391" s="23" t="s">
        <v>341</v>
      </c>
      <c r="D391" s="28" t="s">
        <v>403</v>
      </c>
      <c r="E391" s="31">
        <f>9.886</f>
        <v>9.8859999999999992</v>
      </c>
    </row>
    <row r="392" spans="1:5" ht="51">
      <c r="A392" s="5" t="s">
        <v>63</v>
      </c>
      <c r="B392" s="6" t="s">
        <v>40</v>
      </c>
      <c r="C392" s="23" t="s">
        <v>404</v>
      </c>
      <c r="D392" s="14" t="s">
        <v>405</v>
      </c>
      <c r="E392" s="15">
        <f>2.844-1.87-0.232-0.042-0.234-(0.002)-0.164-0.078-0.056-(0.004)-0.094</f>
        <v>6.79999999999997E-2</v>
      </c>
    </row>
    <row r="393" spans="1:5" ht="51">
      <c r="A393" s="5" t="s">
        <v>63</v>
      </c>
      <c r="B393" s="6" t="s">
        <v>40</v>
      </c>
      <c r="C393" s="23" t="s">
        <v>406</v>
      </c>
      <c r="D393" s="14" t="s">
        <v>407</v>
      </c>
      <c r="E393" s="15">
        <f>3.805-0.308-(0.103)-0.334-(0.008)</f>
        <v>3.052</v>
      </c>
    </row>
    <row r="394" spans="1:5" ht="51">
      <c r="A394" s="5" t="s">
        <v>63</v>
      </c>
      <c r="B394" s="6" t="s">
        <v>40</v>
      </c>
      <c r="C394" s="23" t="s">
        <v>406</v>
      </c>
      <c r="D394" s="14" t="s">
        <v>408</v>
      </c>
      <c r="E394" s="15">
        <f>19.025</f>
        <v>19.024999999999999</v>
      </c>
    </row>
    <row r="395" spans="1:5" ht="51">
      <c r="A395" s="5" t="s">
        <v>63</v>
      </c>
      <c r="B395" s="14" t="s">
        <v>54</v>
      </c>
      <c r="C395" s="23" t="s">
        <v>409</v>
      </c>
      <c r="D395" s="14" t="s">
        <v>105</v>
      </c>
      <c r="E395" s="15">
        <f>0.405</f>
        <v>0.40500000000000003</v>
      </c>
    </row>
    <row r="396" spans="1:5" ht="51">
      <c r="A396" s="5" t="s">
        <v>63</v>
      </c>
      <c r="B396" s="14" t="s">
        <v>54</v>
      </c>
      <c r="C396" s="23" t="s">
        <v>409</v>
      </c>
      <c r="D396" s="14" t="s">
        <v>152</v>
      </c>
      <c r="E396" s="15">
        <f>0.91-0.326</f>
        <v>0.58400000000000007</v>
      </c>
    </row>
    <row r="397" spans="1:5" ht="51">
      <c r="A397" s="5" t="s">
        <v>63</v>
      </c>
      <c r="B397" s="14" t="s">
        <v>30</v>
      </c>
      <c r="C397" s="23" t="s">
        <v>410</v>
      </c>
      <c r="D397" s="14" t="s">
        <v>188</v>
      </c>
      <c r="E397" s="15">
        <f>3.555-0.71-0.722-0.702-0.725</f>
        <v>0.69600000000000029</v>
      </c>
    </row>
    <row r="398" spans="1:5" ht="51">
      <c r="A398" s="5" t="s">
        <v>63</v>
      </c>
      <c r="B398" s="14" t="s">
        <v>30</v>
      </c>
      <c r="C398" s="23" t="s">
        <v>410</v>
      </c>
      <c r="D398" s="14" t="s">
        <v>411</v>
      </c>
      <c r="E398" s="15">
        <f>0.71-0.57</f>
        <v>0.14000000000000001</v>
      </c>
    </row>
    <row r="399" spans="1:5" ht="51">
      <c r="A399" s="5" t="s">
        <v>63</v>
      </c>
      <c r="B399" s="14" t="s">
        <v>30</v>
      </c>
      <c r="C399" s="23" t="s">
        <v>410</v>
      </c>
      <c r="D399" s="14" t="s">
        <v>412</v>
      </c>
      <c r="E399" s="15">
        <f>0.702-0.234</f>
        <v>0.46799999999999997</v>
      </c>
    </row>
    <row r="400" spans="1:5" ht="51">
      <c r="A400" s="5" t="s">
        <v>63</v>
      </c>
      <c r="B400" s="14" t="s">
        <v>30</v>
      </c>
      <c r="C400" s="23" t="s">
        <v>409</v>
      </c>
      <c r="D400" s="14" t="s">
        <v>413</v>
      </c>
      <c r="E400" s="15">
        <f>0.614-0.298-0.058-0.176-0.004</f>
        <v>7.8000000000000014E-2</v>
      </c>
    </row>
    <row r="401" spans="1:5" ht="51">
      <c r="A401" s="5" t="s">
        <v>63</v>
      </c>
      <c r="B401" s="14" t="s">
        <v>44</v>
      </c>
      <c r="C401" s="23" t="s">
        <v>410</v>
      </c>
      <c r="D401" s="14" t="s">
        <v>414</v>
      </c>
      <c r="E401" s="15">
        <f>4.52-2.97-0.044-1.036-(0.004)-0.154-(0.002)</f>
        <v>0.30999999999999928</v>
      </c>
    </row>
    <row r="402" spans="1:5" ht="51">
      <c r="A402" s="5" t="s">
        <v>63</v>
      </c>
      <c r="B402" s="14" t="s">
        <v>30</v>
      </c>
      <c r="C402" s="23" t="s">
        <v>410</v>
      </c>
      <c r="D402" s="14" t="s">
        <v>415</v>
      </c>
      <c r="E402" s="16">
        <f>0.2-0.142+(0.006)</f>
        <v>6.4000000000000029E-2</v>
      </c>
    </row>
    <row r="403" spans="1:5" ht="51">
      <c r="A403" s="5" t="s">
        <v>63</v>
      </c>
      <c r="B403" s="14" t="s">
        <v>30</v>
      </c>
      <c r="C403" s="23" t="s">
        <v>410</v>
      </c>
      <c r="D403" s="14" t="s">
        <v>416</v>
      </c>
      <c r="E403" s="16">
        <f>1.185-0.88-(0.005)</f>
        <v>0.30000000000000004</v>
      </c>
    </row>
    <row r="404" spans="1:5" ht="51">
      <c r="A404" s="5" t="s">
        <v>63</v>
      </c>
      <c r="B404" s="14" t="s">
        <v>33</v>
      </c>
      <c r="C404" s="23" t="s">
        <v>410</v>
      </c>
      <c r="D404" s="14" t="s">
        <v>417</v>
      </c>
      <c r="E404" s="15">
        <f>1.014</f>
        <v>1.014</v>
      </c>
    </row>
    <row r="405" spans="1:5" ht="51">
      <c r="A405" s="5" t="s">
        <v>63</v>
      </c>
      <c r="B405" s="26" t="s">
        <v>47</v>
      </c>
      <c r="C405" s="26" t="s">
        <v>1038</v>
      </c>
      <c r="D405" s="27" t="s">
        <v>105</v>
      </c>
      <c r="E405" s="19">
        <f>19.87-4.97-5-4.945</f>
        <v>4.9550000000000018</v>
      </c>
    </row>
    <row r="406" spans="1:5" ht="51">
      <c r="A406" s="5" t="s">
        <v>63</v>
      </c>
      <c r="B406" s="10" t="s">
        <v>15</v>
      </c>
      <c r="C406" s="23" t="s">
        <v>418</v>
      </c>
      <c r="D406" s="27" t="s">
        <v>166</v>
      </c>
      <c r="E406" s="19">
        <f>2.98-0.495-0.296-1.5</f>
        <v>0.68900000000000006</v>
      </c>
    </row>
    <row r="407" spans="1:5" ht="51">
      <c r="A407" s="5" t="s">
        <v>63</v>
      </c>
      <c r="B407" s="9" t="s">
        <v>13</v>
      </c>
      <c r="C407" s="23" t="s">
        <v>419</v>
      </c>
      <c r="D407" s="27" t="s">
        <v>153</v>
      </c>
      <c r="E407" s="19">
        <f>20.18-4.92-4.9-4.87-2.164-0.074-1.957-0.522</f>
        <v>0.77299999999999924</v>
      </c>
    </row>
    <row r="408" spans="1:5" ht="51">
      <c r="A408" s="5" t="s">
        <v>63</v>
      </c>
      <c r="B408" s="10" t="s">
        <v>15</v>
      </c>
      <c r="C408" s="23" t="s">
        <v>178</v>
      </c>
      <c r="D408" s="27" t="s">
        <v>239</v>
      </c>
      <c r="E408" s="19">
        <f>2.875-1.015-1.403-0.064-0.125</f>
        <v>0.26800000000000007</v>
      </c>
    </row>
    <row r="409" spans="1:5" ht="51">
      <c r="A409" s="5" t="s">
        <v>63</v>
      </c>
      <c r="B409" s="10" t="s">
        <v>15</v>
      </c>
      <c r="C409" s="23" t="s">
        <v>178</v>
      </c>
      <c r="D409" s="27" t="s">
        <v>201</v>
      </c>
      <c r="E409" s="19">
        <f>23.415-5.689-1.69-0.842-0.188-0.094-0.094-0.187-0.094-0.934-0.099-10.194</f>
        <v>3.3099999999999987</v>
      </c>
    </row>
    <row r="410" spans="1:5" ht="51">
      <c r="A410" s="5" t="s">
        <v>63</v>
      </c>
      <c r="B410" s="10" t="s">
        <v>15</v>
      </c>
      <c r="C410" s="23" t="s">
        <v>178</v>
      </c>
      <c r="D410" s="27" t="s">
        <v>420</v>
      </c>
      <c r="E410" s="19">
        <f>0.272-0.046-0.032-0.046</f>
        <v>0.14800000000000002</v>
      </c>
    </row>
    <row r="411" spans="1:5" ht="51">
      <c r="A411" s="5" t="s">
        <v>63</v>
      </c>
      <c r="B411" s="10" t="s">
        <v>15</v>
      </c>
      <c r="C411" s="23" t="s">
        <v>178</v>
      </c>
      <c r="D411" s="27" t="s">
        <v>200</v>
      </c>
      <c r="E411" s="19">
        <f>8.025-0.568-0.284-3.132-0.854-0.854</f>
        <v>2.3330000000000002</v>
      </c>
    </row>
    <row r="412" spans="1:5" ht="51">
      <c r="A412" s="5" t="s">
        <v>63</v>
      </c>
      <c r="B412" s="10" t="s">
        <v>15</v>
      </c>
      <c r="C412" s="23" t="s">
        <v>178</v>
      </c>
      <c r="D412" s="27" t="s">
        <v>200</v>
      </c>
      <c r="E412" s="19">
        <f>7.44-2.85</f>
        <v>4.59</v>
      </c>
    </row>
    <row r="413" spans="1:5" ht="51">
      <c r="A413" s="5" t="s">
        <v>63</v>
      </c>
      <c r="B413" s="10" t="s">
        <v>15</v>
      </c>
      <c r="C413" s="23" t="s">
        <v>175</v>
      </c>
      <c r="D413" s="27" t="s">
        <v>421</v>
      </c>
      <c r="E413" s="19">
        <f>3.135-0.577-0.405-0.547-0.481-0.546-0.081</f>
        <v>0.4979999999999995</v>
      </c>
    </row>
    <row r="414" spans="1:5" ht="51">
      <c r="A414" s="5" t="s">
        <v>63</v>
      </c>
      <c r="B414" s="10" t="s">
        <v>15</v>
      </c>
      <c r="C414" s="23" t="s">
        <v>191</v>
      </c>
      <c r="D414" s="27" t="s">
        <v>236</v>
      </c>
      <c r="E414" s="19">
        <f>19.82-2.474-1.064-1.42-1.756-3.174-2.828-0.35-1.754-0.346-0.708-0.714-0.356-0.355-2.13</f>
        <v>0.39100000000000179</v>
      </c>
    </row>
    <row r="415" spans="1:5" ht="51">
      <c r="A415" s="5" t="s">
        <v>63</v>
      </c>
      <c r="B415" s="10" t="s">
        <v>15</v>
      </c>
      <c r="C415" s="23" t="s">
        <v>191</v>
      </c>
      <c r="D415" s="27" t="s">
        <v>422</v>
      </c>
      <c r="E415" s="19">
        <f>0.35-0.059-0.176+(0.001)</f>
        <v>0.11599999999999999</v>
      </c>
    </row>
    <row r="416" spans="1:5" ht="51">
      <c r="A416" s="5" t="s">
        <v>63</v>
      </c>
      <c r="B416" s="10" t="s">
        <v>15</v>
      </c>
      <c r="C416" s="23" t="s">
        <v>191</v>
      </c>
      <c r="D416" s="27" t="s">
        <v>423</v>
      </c>
      <c r="E416" s="19">
        <f>0.355-0.178</f>
        <v>0.17699999999999999</v>
      </c>
    </row>
    <row r="417" spans="1:5" ht="51">
      <c r="A417" s="5" t="s">
        <v>63</v>
      </c>
      <c r="B417" s="10" t="s">
        <v>15</v>
      </c>
      <c r="C417" s="23" t="s">
        <v>191</v>
      </c>
      <c r="D417" s="27" t="s">
        <v>236</v>
      </c>
      <c r="E417" s="19">
        <f>20.32-1.026-0.354-0.6-15</f>
        <v>3.34</v>
      </c>
    </row>
    <row r="418" spans="1:5" ht="51">
      <c r="A418" s="5" t="s">
        <v>63</v>
      </c>
      <c r="B418" s="10" t="s">
        <v>15</v>
      </c>
      <c r="C418" s="23" t="s">
        <v>178</v>
      </c>
      <c r="D418" s="27" t="s">
        <v>424</v>
      </c>
      <c r="E418" s="19">
        <f>20.475-5.255-5.265-1.599-0.435-2.181-1.609-0.148-2.774-0.293</f>
        <v>0.91600000000000192</v>
      </c>
    </row>
    <row r="419" spans="1:5" ht="51">
      <c r="A419" s="5" t="s">
        <v>63</v>
      </c>
      <c r="B419" s="10" t="s">
        <v>15</v>
      </c>
      <c r="C419" s="23" t="s">
        <v>178</v>
      </c>
      <c r="D419" s="27" t="s">
        <v>196</v>
      </c>
      <c r="E419" s="19">
        <f>20.16-0.832-0.42-0.418-0.418-0.424-15</f>
        <v>2.6479999999999997</v>
      </c>
    </row>
    <row r="420" spans="1:5" ht="51">
      <c r="A420" s="5" t="s">
        <v>63</v>
      </c>
      <c r="B420" s="10" t="s">
        <v>15</v>
      </c>
      <c r="C420" s="23" t="s">
        <v>178</v>
      </c>
      <c r="D420" s="23" t="s">
        <v>229</v>
      </c>
      <c r="E420" s="19">
        <f>21.94-1.453-0.485-0.97-0.487-0.485-17</f>
        <v>1.0600000000000058</v>
      </c>
    </row>
    <row r="421" spans="1:5" ht="51">
      <c r="A421" s="5" t="s">
        <v>63</v>
      </c>
      <c r="B421" s="10" t="s">
        <v>15</v>
      </c>
      <c r="C421" s="23" t="s">
        <v>178</v>
      </c>
      <c r="D421" s="23" t="s">
        <v>425</v>
      </c>
      <c r="E421" s="19">
        <f>0.487-0.163-0.081-(0.001)-0.041-(0.001)</f>
        <v>0.19999999999999993</v>
      </c>
    </row>
    <row r="422" spans="1:5" ht="51">
      <c r="A422" s="5" t="s">
        <v>63</v>
      </c>
      <c r="B422" s="10" t="s">
        <v>15</v>
      </c>
      <c r="C422" s="23" t="s">
        <v>178</v>
      </c>
      <c r="D422" s="23" t="s">
        <v>227</v>
      </c>
      <c r="E422" s="19">
        <f>0.485-0.243</f>
        <v>0.24199999999999999</v>
      </c>
    </row>
    <row r="423" spans="1:5" ht="51">
      <c r="A423" s="5" t="s">
        <v>63</v>
      </c>
      <c r="B423" s="10" t="s">
        <v>15</v>
      </c>
      <c r="C423" s="23" t="s">
        <v>175</v>
      </c>
      <c r="D423" s="27" t="s">
        <v>426</v>
      </c>
      <c r="E423" s="19">
        <f>3.115-0.521-0.13-1.285-0.13-0.5-0.5</f>
        <v>4.9000000000000377E-2</v>
      </c>
    </row>
    <row r="424" spans="1:5" ht="51">
      <c r="A424" s="5" t="s">
        <v>63</v>
      </c>
      <c r="B424" s="10" t="s">
        <v>15</v>
      </c>
      <c r="C424" s="23" t="s">
        <v>191</v>
      </c>
      <c r="D424" s="27" t="s">
        <v>190</v>
      </c>
      <c r="E424" s="19">
        <f>16.29-1.16-3.484-2.322-1.13-7</f>
        <v>1.1939999999999991</v>
      </c>
    </row>
    <row r="425" spans="1:5" ht="51">
      <c r="A425" s="5" t="s">
        <v>63</v>
      </c>
      <c r="B425" s="10" t="s">
        <v>15</v>
      </c>
      <c r="C425" s="23" t="s">
        <v>178</v>
      </c>
      <c r="D425" s="27" t="s">
        <v>427</v>
      </c>
      <c r="E425" s="19">
        <f>3.05-0.953-0.96-0.16-0.799</f>
        <v>0.17799999999999994</v>
      </c>
    </row>
    <row r="426" spans="1:5" ht="51">
      <c r="A426" s="5" t="s">
        <v>63</v>
      </c>
      <c r="B426" s="10" t="s">
        <v>15</v>
      </c>
      <c r="C426" s="23" t="s">
        <v>191</v>
      </c>
      <c r="D426" s="27" t="s">
        <v>428</v>
      </c>
      <c r="E426" s="19">
        <f>0.692-0.346-0.23-(0.002)</f>
        <v>0.11399999999999996</v>
      </c>
    </row>
    <row r="427" spans="1:5" ht="51">
      <c r="A427" s="5" t="s">
        <v>63</v>
      </c>
      <c r="B427" s="10" t="s">
        <v>15</v>
      </c>
      <c r="C427" s="23" t="s">
        <v>191</v>
      </c>
      <c r="D427" s="27" t="s">
        <v>188</v>
      </c>
      <c r="E427" s="19">
        <f>28.765-0.7-1.395-5.656-18</f>
        <v>3.0140000000000029</v>
      </c>
    </row>
    <row r="428" spans="1:5" ht="51">
      <c r="A428" s="5" t="s">
        <v>63</v>
      </c>
      <c r="B428" s="10" t="s">
        <v>15</v>
      </c>
      <c r="C428" s="23" t="s">
        <v>191</v>
      </c>
      <c r="D428" s="27" t="s">
        <v>429</v>
      </c>
      <c r="E428" s="19">
        <f>0.7-0.2</f>
        <v>0.49999999999999994</v>
      </c>
    </row>
    <row r="429" spans="1:5" ht="51">
      <c r="A429" s="5" t="s">
        <v>63</v>
      </c>
      <c r="B429" s="10" t="s">
        <v>15</v>
      </c>
      <c r="C429" s="23" t="s">
        <v>178</v>
      </c>
      <c r="D429" s="23" t="s">
        <v>430</v>
      </c>
      <c r="E429" s="19">
        <f>0.85-0.14-(0.008)-0.294-(0.002)</f>
        <v>0.40599999999999997</v>
      </c>
    </row>
    <row r="430" spans="1:5" ht="51">
      <c r="A430" s="5" t="s">
        <v>63</v>
      </c>
      <c r="B430" s="10" t="s">
        <v>15</v>
      </c>
      <c r="C430" s="23" t="s">
        <v>178</v>
      </c>
      <c r="D430" s="27" t="s">
        <v>431</v>
      </c>
      <c r="E430" s="19">
        <f>0.84-0.422-0.388+(0.002)</f>
        <v>3.1999999999999973E-2</v>
      </c>
    </row>
    <row r="431" spans="1:5" ht="51">
      <c r="A431" s="5" t="s">
        <v>63</v>
      </c>
      <c r="B431" s="10" t="s">
        <v>15</v>
      </c>
      <c r="C431" s="23" t="s">
        <v>178</v>
      </c>
      <c r="D431" s="27" t="s">
        <v>432</v>
      </c>
      <c r="E431" s="19">
        <f>0.852-0.57</f>
        <v>0.28200000000000003</v>
      </c>
    </row>
    <row r="432" spans="1:5" ht="51">
      <c r="A432" s="5" t="s">
        <v>63</v>
      </c>
      <c r="B432" s="10" t="s">
        <v>15</v>
      </c>
      <c r="C432" s="23" t="s">
        <v>178</v>
      </c>
      <c r="D432" s="27" t="s">
        <v>185</v>
      </c>
      <c r="E432" s="19">
        <f>2.556</f>
        <v>2.556</v>
      </c>
    </row>
    <row r="433" spans="1:5" ht="51">
      <c r="A433" s="5" t="s">
        <v>63</v>
      </c>
      <c r="B433" s="10" t="s">
        <v>15</v>
      </c>
      <c r="C433" s="23" t="s">
        <v>178</v>
      </c>
      <c r="D433" s="27" t="s">
        <v>433</v>
      </c>
      <c r="E433" s="19">
        <f>2.982-1.98-0.082-(0.017)-0.328-0.132-(0.001)-0.166-(0.002)</f>
        <v>0.27400000000000013</v>
      </c>
    </row>
    <row r="434" spans="1:5" ht="51">
      <c r="A434" s="5" t="s">
        <v>63</v>
      </c>
      <c r="B434" s="10" t="s">
        <v>15</v>
      </c>
      <c r="C434" s="23" t="s">
        <v>178</v>
      </c>
      <c r="D434" s="27" t="s">
        <v>218</v>
      </c>
      <c r="E434" s="19">
        <f>1.988</f>
        <v>1.988</v>
      </c>
    </row>
    <row r="435" spans="1:5" ht="51">
      <c r="A435" s="5" t="s">
        <v>63</v>
      </c>
      <c r="B435" s="10" t="s">
        <v>15</v>
      </c>
      <c r="C435" s="23" t="s">
        <v>175</v>
      </c>
      <c r="D435" s="27" t="s">
        <v>434</v>
      </c>
      <c r="E435" s="19">
        <f>0.912</f>
        <v>0.91200000000000003</v>
      </c>
    </row>
    <row r="436" spans="1:5" ht="51">
      <c r="A436" s="5" t="s">
        <v>63</v>
      </c>
      <c r="B436" s="10" t="s">
        <v>15</v>
      </c>
      <c r="C436" s="23" t="s">
        <v>175</v>
      </c>
      <c r="D436" s="27" t="s">
        <v>435</v>
      </c>
      <c r="E436" s="19">
        <f>1.98-1.5</f>
        <v>0.48</v>
      </c>
    </row>
    <row r="437" spans="1:5" ht="51">
      <c r="A437" s="5" t="s">
        <v>63</v>
      </c>
      <c r="B437" s="10" t="s">
        <v>15</v>
      </c>
      <c r="C437" s="23" t="s">
        <v>436</v>
      </c>
      <c r="D437" s="27" t="s">
        <v>437</v>
      </c>
      <c r="E437" s="19">
        <f>3.195-1.039-1.06</f>
        <v>1.0959999999999996</v>
      </c>
    </row>
    <row r="438" spans="1:5" ht="51">
      <c r="A438" s="5" t="s">
        <v>63</v>
      </c>
      <c r="B438" s="10" t="s">
        <v>15</v>
      </c>
      <c r="C438" s="23" t="s">
        <v>436</v>
      </c>
      <c r="D438" s="27" t="s">
        <v>438</v>
      </c>
      <c r="E438" s="19">
        <f>1.039-0.123</f>
        <v>0.91599999999999993</v>
      </c>
    </row>
    <row r="439" spans="1:5" ht="51">
      <c r="A439" s="5" t="s">
        <v>63</v>
      </c>
      <c r="B439" s="10" t="s">
        <v>15</v>
      </c>
      <c r="C439" s="23" t="s">
        <v>175</v>
      </c>
      <c r="D439" s="27" t="s">
        <v>439</v>
      </c>
      <c r="E439" s="19">
        <f>2.122</f>
        <v>2.1219999999999999</v>
      </c>
    </row>
    <row r="440" spans="1:5" ht="51">
      <c r="A440" s="5" t="s">
        <v>63</v>
      </c>
      <c r="B440" s="10" t="s">
        <v>15</v>
      </c>
      <c r="C440" s="23" t="s">
        <v>178</v>
      </c>
      <c r="D440" s="27" t="s">
        <v>440</v>
      </c>
      <c r="E440" s="19">
        <f>3.411-2.18-0.108-(0.145)-0.328</f>
        <v>0.64999999999999969</v>
      </c>
    </row>
    <row r="441" spans="1:5" ht="51">
      <c r="A441" s="5" t="s">
        <v>63</v>
      </c>
      <c r="B441" s="10" t="s">
        <v>15</v>
      </c>
      <c r="C441" s="23" t="s">
        <v>178</v>
      </c>
      <c r="D441" s="27" t="s">
        <v>300</v>
      </c>
      <c r="E441" s="19">
        <f>0.384</f>
        <v>0.38400000000000001</v>
      </c>
    </row>
    <row r="442" spans="1:5" ht="51">
      <c r="A442" s="5" t="s">
        <v>63</v>
      </c>
      <c r="B442" s="10" t="s">
        <v>15</v>
      </c>
      <c r="C442" s="23" t="s">
        <v>178</v>
      </c>
      <c r="D442" s="27" t="s">
        <v>184</v>
      </c>
      <c r="E442" s="19">
        <f>4.548-1.118-1.116-1.116</f>
        <v>1.1979999999999995</v>
      </c>
    </row>
    <row r="443" spans="1:5" ht="51">
      <c r="A443" s="5" t="s">
        <v>63</v>
      </c>
      <c r="B443" s="10" t="s">
        <v>15</v>
      </c>
      <c r="C443" s="23" t="s">
        <v>178</v>
      </c>
      <c r="D443" s="27" t="s">
        <v>441</v>
      </c>
      <c r="E443" s="19">
        <f>2.51</f>
        <v>2.5099999999999998</v>
      </c>
    </row>
    <row r="444" spans="1:5" ht="51">
      <c r="A444" s="5" t="s">
        <v>63</v>
      </c>
      <c r="B444" s="10" t="s">
        <v>15</v>
      </c>
      <c r="C444" s="23" t="s">
        <v>178</v>
      </c>
      <c r="D444" s="27" t="s">
        <v>442</v>
      </c>
      <c r="E444" s="19">
        <f>1.516-0.37-0.042-0.298-0.345-0.031</f>
        <v>0.42999999999999983</v>
      </c>
    </row>
    <row r="445" spans="1:5" ht="51">
      <c r="A445" s="5" t="s">
        <v>63</v>
      </c>
      <c r="B445" s="10" t="s">
        <v>15</v>
      </c>
      <c r="C445" s="23" t="s">
        <v>175</v>
      </c>
      <c r="D445" s="27" t="s">
        <v>443</v>
      </c>
      <c r="E445" s="19">
        <f>1.52-0.248-(0.04)</f>
        <v>1.232</v>
      </c>
    </row>
    <row r="446" spans="1:5" ht="51">
      <c r="A446" s="5" t="s">
        <v>63</v>
      </c>
      <c r="B446" s="10" t="s">
        <v>15</v>
      </c>
      <c r="C446" s="23" t="s">
        <v>178</v>
      </c>
      <c r="D446" s="27" t="s">
        <v>213</v>
      </c>
      <c r="E446" s="19">
        <f>10.28-1.262-1.252-1.258-1.248</f>
        <v>5.2599999999999989</v>
      </c>
    </row>
    <row r="447" spans="1:5" ht="51">
      <c r="A447" s="5" t="s">
        <v>63</v>
      </c>
      <c r="B447" s="10" t="s">
        <v>15</v>
      </c>
      <c r="C447" s="23" t="s">
        <v>178</v>
      </c>
      <c r="D447" s="27" t="s">
        <v>444</v>
      </c>
      <c r="E447" s="19">
        <f>1.252-1.01-0.106-(0.002)</f>
        <v>0.13400000000000001</v>
      </c>
    </row>
    <row r="448" spans="1:5" ht="51">
      <c r="A448" s="5" t="s">
        <v>63</v>
      </c>
      <c r="B448" s="10" t="s">
        <v>15</v>
      </c>
      <c r="C448" s="23" t="s">
        <v>178</v>
      </c>
      <c r="D448" s="27" t="s">
        <v>445</v>
      </c>
      <c r="E448" s="19">
        <f>1.258-0.694</f>
        <v>0.56400000000000006</v>
      </c>
    </row>
    <row r="449" spans="1:5" ht="51">
      <c r="A449" s="5" t="s">
        <v>63</v>
      </c>
      <c r="B449" s="10" t="s">
        <v>15</v>
      </c>
      <c r="C449" s="23" t="s">
        <v>178</v>
      </c>
      <c r="D449" s="27" t="s">
        <v>446</v>
      </c>
      <c r="E449" s="19">
        <f>1.248-0.623</f>
        <v>0.625</v>
      </c>
    </row>
    <row r="450" spans="1:5" ht="51">
      <c r="A450" s="5" t="s">
        <v>63</v>
      </c>
      <c r="B450" s="10" t="s">
        <v>15</v>
      </c>
      <c r="C450" s="23" t="s">
        <v>175</v>
      </c>
      <c r="D450" s="27" t="s">
        <v>447</v>
      </c>
      <c r="E450" s="19">
        <f>1.428-0.12-(0.006)-0.902-(0.006)-0.192-(0.002)</f>
        <v>0.19999999999999979</v>
      </c>
    </row>
    <row r="451" spans="1:5" ht="51">
      <c r="A451" s="5" t="s">
        <v>63</v>
      </c>
      <c r="B451" s="10" t="s">
        <v>15</v>
      </c>
      <c r="C451" s="23" t="s">
        <v>175</v>
      </c>
      <c r="D451" s="27" t="s">
        <v>180</v>
      </c>
      <c r="E451" s="19">
        <f>7.14-1.402-1.41-1.402</f>
        <v>2.9259999999999993</v>
      </c>
    </row>
    <row r="452" spans="1:5" ht="51">
      <c r="A452" s="5" t="s">
        <v>63</v>
      </c>
      <c r="B452" s="10" t="s">
        <v>15</v>
      </c>
      <c r="C452" s="23" t="s">
        <v>175</v>
      </c>
      <c r="D452" s="23" t="s">
        <v>448</v>
      </c>
      <c r="E452" s="19">
        <f>3.142-1.555-1.086-(0.035)</f>
        <v>0.46599999999999986</v>
      </c>
    </row>
    <row r="453" spans="1:5" ht="51">
      <c r="A453" s="5" t="s">
        <v>63</v>
      </c>
      <c r="B453" s="10" t="s">
        <v>15</v>
      </c>
      <c r="C453" s="23" t="s">
        <v>175</v>
      </c>
      <c r="D453" s="23" t="s">
        <v>449</v>
      </c>
      <c r="E453" s="19">
        <f>3.142-1.552-(0.03)</f>
        <v>1.5599999999999998</v>
      </c>
    </row>
    <row r="454" spans="1:5" ht="51">
      <c r="A454" s="5" t="s">
        <v>63</v>
      </c>
      <c r="B454" s="10" t="s">
        <v>15</v>
      </c>
      <c r="C454" s="23" t="s">
        <v>178</v>
      </c>
      <c r="D454" s="23" t="s">
        <v>450</v>
      </c>
      <c r="E454" s="19">
        <f>3.57-1.754-0.176-(0.06)-0.882-0.294-0.05-0.196-0.089</f>
        <v>6.8999999999999867E-2</v>
      </c>
    </row>
    <row r="455" spans="1:5" ht="51">
      <c r="A455" s="5" t="s">
        <v>63</v>
      </c>
      <c r="B455" s="10" t="s">
        <v>15</v>
      </c>
      <c r="C455" s="23" t="s">
        <v>178</v>
      </c>
      <c r="D455" s="23" t="s">
        <v>451</v>
      </c>
      <c r="E455" s="19">
        <f>0.294-0.148</f>
        <v>0.14599999999999999</v>
      </c>
    </row>
    <row r="456" spans="1:5" ht="51">
      <c r="A456" s="5" t="s">
        <v>63</v>
      </c>
      <c r="B456" s="10" t="s">
        <v>15</v>
      </c>
      <c r="C456" s="23" t="s">
        <v>178</v>
      </c>
      <c r="D456" s="23" t="s">
        <v>452</v>
      </c>
      <c r="E456" s="19">
        <f>1.746-0.018-0.064-0.212-0.142-(0.008)-0.266-0.878-(0.004)</f>
        <v>0.15400000000000003</v>
      </c>
    </row>
    <row r="457" spans="1:5" ht="51">
      <c r="A457" s="5" t="s">
        <v>63</v>
      </c>
      <c r="B457" s="10" t="s">
        <v>15</v>
      </c>
      <c r="C457" s="23" t="s">
        <v>178</v>
      </c>
      <c r="D457" s="23" t="s">
        <v>453</v>
      </c>
      <c r="E457" s="19">
        <f>1.748-0.874</f>
        <v>0.874</v>
      </c>
    </row>
    <row r="458" spans="1:5" ht="51">
      <c r="A458" s="5" t="s">
        <v>63</v>
      </c>
      <c r="B458" s="10" t="s">
        <v>15</v>
      </c>
      <c r="C458" s="23" t="s">
        <v>175</v>
      </c>
      <c r="D458" s="23" t="s">
        <v>348</v>
      </c>
      <c r="E458" s="19">
        <f>3.57</f>
        <v>3.57</v>
      </c>
    </row>
    <row r="459" spans="1:5" ht="51">
      <c r="A459" s="5" t="s">
        <v>63</v>
      </c>
      <c r="B459" s="10" t="s">
        <v>15</v>
      </c>
      <c r="C459" s="23" t="s">
        <v>175</v>
      </c>
      <c r="D459" s="23" t="s">
        <v>454</v>
      </c>
      <c r="E459" s="19">
        <f>3.712-1.844-0.232-(0.024)</f>
        <v>1.6120000000000001</v>
      </c>
    </row>
    <row r="460" spans="1:5" ht="51">
      <c r="A460" s="5" t="s">
        <v>63</v>
      </c>
      <c r="B460" s="10" t="s">
        <v>15</v>
      </c>
      <c r="C460" s="23" t="s">
        <v>175</v>
      </c>
      <c r="D460" s="23" t="s">
        <v>455</v>
      </c>
      <c r="E460" s="19">
        <f>3.998-2.006-0.333+(0.005)-0.07</f>
        <v>1.5940000000000003</v>
      </c>
    </row>
    <row r="461" spans="1:5" ht="51">
      <c r="A461" s="5" t="s">
        <v>63</v>
      </c>
      <c r="B461" s="10" t="s">
        <v>15</v>
      </c>
      <c r="C461" s="23" t="s">
        <v>178</v>
      </c>
      <c r="D461" s="27" t="s">
        <v>456</v>
      </c>
      <c r="E461" s="19">
        <f>2.088-1.044-0.25-0.266-0.156-(0.002)-0.072-0.074</f>
        <v>0.22399999999999998</v>
      </c>
    </row>
    <row r="462" spans="1:5" ht="51">
      <c r="A462" s="5" t="s">
        <v>63</v>
      </c>
      <c r="B462" s="10" t="s">
        <v>15</v>
      </c>
      <c r="C462" s="23" t="s">
        <v>175</v>
      </c>
      <c r="D462" s="27" t="s">
        <v>457</v>
      </c>
      <c r="E462" s="19">
        <f>21.42-18.994-(0.284)-0.214-(0.026)-0.42-0.318-0.21-(0.02)</f>
        <v>0.93400000000000216</v>
      </c>
    </row>
    <row r="463" spans="1:5" ht="51">
      <c r="A463" s="5" t="s">
        <v>63</v>
      </c>
      <c r="B463" s="10" t="s">
        <v>15</v>
      </c>
      <c r="C463" s="23" t="s">
        <v>175</v>
      </c>
      <c r="D463" s="27" t="s">
        <v>458</v>
      </c>
      <c r="E463" s="19">
        <f>8.568-2.106-2.106-2.104-1.476-(0.144)</f>
        <v>0.63199999999999978</v>
      </c>
    </row>
    <row r="464" spans="1:5" ht="51">
      <c r="A464" s="5" t="s">
        <v>63</v>
      </c>
      <c r="B464" s="10" t="s">
        <v>15</v>
      </c>
      <c r="C464" s="23" t="s">
        <v>175</v>
      </c>
      <c r="D464" s="27" t="s">
        <v>459</v>
      </c>
      <c r="E464" s="19">
        <f>2.124-1.064</f>
        <v>1.06</v>
      </c>
    </row>
    <row r="465" spans="1:5" ht="51">
      <c r="A465" s="5" t="s">
        <v>63</v>
      </c>
      <c r="B465" s="10" t="s">
        <v>15</v>
      </c>
      <c r="C465" s="23" t="s">
        <v>175</v>
      </c>
      <c r="D465" s="27" t="s">
        <v>282</v>
      </c>
      <c r="E465" s="19">
        <f>8.568-2.142</f>
        <v>6.4260000000000002</v>
      </c>
    </row>
    <row r="466" spans="1:5" ht="51">
      <c r="A466" s="5" t="s">
        <v>63</v>
      </c>
      <c r="B466" s="10" t="s">
        <v>15</v>
      </c>
      <c r="C466" s="23" t="s">
        <v>175</v>
      </c>
      <c r="D466" s="27" t="s">
        <v>460</v>
      </c>
      <c r="E466" s="19">
        <f>2.142-1.3</f>
        <v>0.84199999999999986</v>
      </c>
    </row>
    <row r="467" spans="1:5" ht="51">
      <c r="A467" s="5" t="s">
        <v>63</v>
      </c>
      <c r="B467" s="10" t="s">
        <v>15</v>
      </c>
      <c r="C467" s="23" t="s">
        <v>178</v>
      </c>
      <c r="D467" s="27" t="s">
        <v>461</v>
      </c>
      <c r="E467" s="19">
        <f>2.226-1.116-0.096-(0.004)</f>
        <v>1.0099999999999998</v>
      </c>
    </row>
    <row r="468" spans="1:5" ht="51">
      <c r="A468" s="5" t="s">
        <v>63</v>
      </c>
      <c r="B468" s="10" t="s">
        <v>15</v>
      </c>
      <c r="C468" s="23" t="s">
        <v>178</v>
      </c>
      <c r="D468" s="23" t="s">
        <v>462</v>
      </c>
      <c r="E468" s="19">
        <f>2.512-0.254-0.084-(0.002)-0.214-(0.008)-0.092-(0.014)-0.15-(0.004)-1.276-(0.008)-0.09-(0.006)</f>
        <v>0.31000000000000016</v>
      </c>
    </row>
    <row r="469" spans="1:5" ht="51">
      <c r="A469" s="5" t="s">
        <v>63</v>
      </c>
      <c r="B469" s="10" t="s">
        <v>15</v>
      </c>
      <c r="C469" s="23" t="s">
        <v>178</v>
      </c>
      <c r="D469" s="23" t="s">
        <v>463</v>
      </c>
      <c r="E469" s="19">
        <f>5.14</f>
        <v>5.14</v>
      </c>
    </row>
    <row r="470" spans="1:5" ht="51">
      <c r="A470" s="5" t="s">
        <v>63</v>
      </c>
      <c r="B470" s="10" t="s">
        <v>15</v>
      </c>
      <c r="C470" s="23" t="s">
        <v>341</v>
      </c>
      <c r="D470" s="32" t="s">
        <v>464</v>
      </c>
      <c r="E470" s="33">
        <f>2.826-0.94-1.412-(0.01)-0.204-(0.002)-0.14-(0.01)</f>
        <v>0.10800000000000022</v>
      </c>
    </row>
    <row r="471" spans="1:5" ht="51">
      <c r="A471" s="5" t="s">
        <v>63</v>
      </c>
      <c r="B471" s="9" t="s">
        <v>15</v>
      </c>
      <c r="C471" s="23" t="s">
        <v>175</v>
      </c>
      <c r="D471" s="32" t="s">
        <v>465</v>
      </c>
      <c r="E471" s="33">
        <f>2.812-0.94-1.408</f>
        <v>0.46399999999999997</v>
      </c>
    </row>
    <row r="472" spans="1:5" ht="51">
      <c r="A472" s="5" t="s">
        <v>63</v>
      </c>
      <c r="B472" s="9" t="s">
        <v>15</v>
      </c>
      <c r="C472" s="23" t="s">
        <v>175</v>
      </c>
      <c r="D472" s="32" t="s">
        <v>466</v>
      </c>
      <c r="E472" s="33">
        <f>2.855-1.452-(0.049)</f>
        <v>1.3540000000000001</v>
      </c>
    </row>
    <row r="473" spans="1:5" ht="51">
      <c r="A473" s="5" t="s">
        <v>63</v>
      </c>
      <c r="B473" s="10" t="s">
        <v>15</v>
      </c>
      <c r="C473" s="23" t="s">
        <v>175</v>
      </c>
      <c r="D473" s="32" t="s">
        <v>467</v>
      </c>
      <c r="E473" s="33">
        <f>2.855</f>
        <v>2.855</v>
      </c>
    </row>
    <row r="474" spans="1:5" ht="51">
      <c r="A474" s="5" t="s">
        <v>63</v>
      </c>
      <c r="B474" s="10" t="s">
        <v>15</v>
      </c>
      <c r="C474" s="23" t="s">
        <v>175</v>
      </c>
      <c r="D474" s="32" t="s">
        <v>467</v>
      </c>
      <c r="E474" s="33">
        <f>5.71</f>
        <v>5.71</v>
      </c>
    </row>
    <row r="475" spans="1:5" ht="51">
      <c r="A475" s="5" t="s">
        <v>63</v>
      </c>
      <c r="B475" s="10" t="s">
        <v>15</v>
      </c>
      <c r="C475" s="23" t="s">
        <v>341</v>
      </c>
      <c r="D475" s="32" t="s">
        <v>468</v>
      </c>
      <c r="E475" s="33">
        <f>1.564-1.058-0.038-0.186-(0.014)</f>
        <v>0.26800000000000002</v>
      </c>
    </row>
    <row r="476" spans="1:5" ht="51">
      <c r="A476" s="5" t="s">
        <v>63</v>
      </c>
      <c r="B476" s="10" t="s">
        <v>15</v>
      </c>
      <c r="C476" s="23" t="s">
        <v>178</v>
      </c>
      <c r="D476" s="23" t="s">
        <v>469</v>
      </c>
      <c r="E476" s="19">
        <f>3.212-0.294-(0.03)-0.388-(0.014)-1.596-(0.004)-0.132-(0.003)-0.46</f>
        <v>0.29100000000000054</v>
      </c>
    </row>
    <row r="477" spans="1:5" ht="51">
      <c r="A477" s="5" t="s">
        <v>63</v>
      </c>
      <c r="B477" s="10" t="s">
        <v>15</v>
      </c>
      <c r="C477" s="23" t="s">
        <v>175</v>
      </c>
      <c r="D477" s="23" t="s">
        <v>470</v>
      </c>
      <c r="E477" s="19">
        <f>3.212-0.174-(0.014)</f>
        <v>3.0240000000000005</v>
      </c>
    </row>
    <row r="478" spans="1:5" ht="51">
      <c r="A478" s="5" t="s">
        <v>63</v>
      </c>
      <c r="B478" s="10" t="s">
        <v>15</v>
      </c>
      <c r="C478" s="23" t="s">
        <v>175</v>
      </c>
      <c r="D478" s="23" t="s">
        <v>471</v>
      </c>
      <c r="E478" s="19">
        <f>4.203-2.804-(0.057)</f>
        <v>1.3420000000000005</v>
      </c>
    </row>
    <row r="479" spans="1:5" ht="51">
      <c r="A479" s="5" t="s">
        <v>63</v>
      </c>
      <c r="B479" s="10" t="s">
        <v>15</v>
      </c>
      <c r="C479" s="23" t="s">
        <v>178</v>
      </c>
      <c r="D479" s="27" t="s">
        <v>472</v>
      </c>
      <c r="E479" s="19">
        <f>3.506-0.536-0.398-0.59-(0.004)-1.176-(0.006)-0.084-0.094-0.294-(0.006)</f>
        <v>0.31799999999999989</v>
      </c>
    </row>
    <row r="480" spans="1:5" ht="51">
      <c r="A480" s="5" t="s">
        <v>63</v>
      </c>
      <c r="B480" s="10" t="s">
        <v>15</v>
      </c>
      <c r="C480" s="23" t="s">
        <v>178</v>
      </c>
      <c r="D480" s="27" t="s">
        <v>473</v>
      </c>
      <c r="E480" s="19">
        <f>3.569-2.002-(0.037)-1.18-(0.004)-0.192+(0.008)</f>
        <v>0.16200000000000031</v>
      </c>
    </row>
    <row r="481" spans="1:5" ht="51">
      <c r="A481" s="5" t="s">
        <v>63</v>
      </c>
      <c r="B481" s="10" t="s">
        <v>15</v>
      </c>
      <c r="C481" s="23" t="s">
        <v>178</v>
      </c>
      <c r="D481" s="27" t="s">
        <v>274</v>
      </c>
      <c r="E481" s="19">
        <f>3.507-1.75-(0.009)-0.878-0.297-(0.004)-0.02-0.058-(0.013)-0.148-0.04-(0.002)</f>
        <v>0.2880000000000002</v>
      </c>
    </row>
    <row r="482" spans="1:5" ht="51">
      <c r="A482" s="5" t="s">
        <v>63</v>
      </c>
      <c r="B482" s="10" t="s">
        <v>15</v>
      </c>
      <c r="C482" s="23" t="s">
        <v>191</v>
      </c>
      <c r="D482" s="27" t="s">
        <v>473</v>
      </c>
      <c r="E482" s="19">
        <f>3.569-0.702-0.526-0.348-1.764-(0.071)</f>
        <v>0.15800000000000031</v>
      </c>
    </row>
    <row r="483" spans="1:5" ht="51">
      <c r="A483" s="5" t="s">
        <v>63</v>
      </c>
      <c r="B483" s="10" t="s">
        <v>15</v>
      </c>
      <c r="C483" s="23" t="s">
        <v>191</v>
      </c>
      <c r="D483" s="27" t="s">
        <v>474</v>
      </c>
      <c r="E483" s="19">
        <f>3.569-2.9</f>
        <v>0.66900000000000004</v>
      </c>
    </row>
    <row r="484" spans="1:5" ht="51">
      <c r="A484" s="5" t="s">
        <v>63</v>
      </c>
      <c r="B484" s="10" t="s">
        <v>15</v>
      </c>
      <c r="C484" s="23" t="s">
        <v>191</v>
      </c>
      <c r="D484" s="27" t="s">
        <v>271</v>
      </c>
      <c r="E484" s="19">
        <f>3.569</f>
        <v>3.569</v>
      </c>
    </row>
    <row r="485" spans="1:5" ht="51">
      <c r="A485" s="5" t="s">
        <v>63</v>
      </c>
      <c r="B485" s="10" t="s">
        <v>15</v>
      </c>
      <c r="C485" s="23" t="s">
        <v>178</v>
      </c>
      <c r="D485" s="27" t="s">
        <v>475</v>
      </c>
      <c r="E485" s="19">
        <f>4.05-1.992-0.042-0.416-(0.004)-0.39-(0.006)-0.088-(0.01)-0.036-0.152-0.068-(0.01)-0.072-(0.018)-0.338-(0.007)</f>
        <v>0.40099999999999986</v>
      </c>
    </row>
    <row r="486" spans="1:5" ht="51">
      <c r="A486" s="5" t="s">
        <v>63</v>
      </c>
      <c r="B486" s="9" t="s">
        <v>15</v>
      </c>
      <c r="C486" s="23" t="s">
        <v>178</v>
      </c>
      <c r="D486" s="27" t="s">
        <v>476</v>
      </c>
      <c r="E486" s="19">
        <f>4.15-2.766+(0.012)-0.156</f>
        <v>1.2400000000000004</v>
      </c>
    </row>
    <row r="487" spans="1:5" ht="51">
      <c r="A487" s="5" t="s">
        <v>63</v>
      </c>
      <c r="B487" s="9" t="s">
        <v>15</v>
      </c>
      <c r="C487" s="23" t="s">
        <v>178</v>
      </c>
      <c r="D487" s="27" t="s">
        <v>477</v>
      </c>
      <c r="E487" s="19">
        <f>15.94-3.986-4-3.985</f>
        <v>3.968999999999999</v>
      </c>
    </row>
    <row r="488" spans="1:5" ht="51">
      <c r="A488" s="5" t="s">
        <v>63</v>
      </c>
      <c r="B488" s="9" t="s">
        <v>15</v>
      </c>
      <c r="C488" s="23" t="s">
        <v>341</v>
      </c>
      <c r="D488" s="32" t="s">
        <v>478</v>
      </c>
      <c r="E488" s="34">
        <f>0.072</f>
        <v>7.1999999999999995E-2</v>
      </c>
    </row>
    <row r="489" spans="1:5" ht="51">
      <c r="A489" s="5" t="s">
        <v>63</v>
      </c>
      <c r="B489" s="9" t="s">
        <v>15</v>
      </c>
      <c r="C489" s="23" t="s">
        <v>341</v>
      </c>
      <c r="D489" s="32" t="s">
        <v>479</v>
      </c>
      <c r="E489" s="34">
        <f>0.04</f>
        <v>0.04</v>
      </c>
    </row>
    <row r="490" spans="1:5" ht="51">
      <c r="A490" s="5" t="s">
        <v>63</v>
      </c>
      <c r="B490" s="9" t="s">
        <v>15</v>
      </c>
      <c r="C490" s="23" t="s">
        <v>341</v>
      </c>
      <c r="D490" s="32" t="s">
        <v>480</v>
      </c>
      <c r="E490" s="33">
        <f>4.42-0.904-0.244+(0.006)-0.35-0.694-0.518-0.536-0.908-(0.022)-0.056-(0.002)-0.098</f>
        <v>9.3999999999999917E-2</v>
      </c>
    </row>
    <row r="491" spans="1:5" ht="51">
      <c r="A491" s="5" t="s">
        <v>63</v>
      </c>
      <c r="B491" s="9" t="s">
        <v>15</v>
      </c>
      <c r="C491" s="23" t="s">
        <v>341</v>
      </c>
      <c r="D491" s="32" t="s">
        <v>481</v>
      </c>
      <c r="E491" s="33">
        <f>4.56-0.598-0.618-0.446-0.382-0.12-0.12-0.038-0.04-0.042-(0.096)-0.234-(0.006)-0.404-(0.004)-0.318-(0.044)-0.192-0.064-0.1-0.022-0.086-0.074-0.052</f>
        <v>0.45999999999999946</v>
      </c>
    </row>
    <row r="492" spans="1:5" ht="51">
      <c r="A492" s="5" t="s">
        <v>63</v>
      </c>
      <c r="B492" s="9" t="s">
        <v>15</v>
      </c>
      <c r="C492" s="23" t="s">
        <v>341</v>
      </c>
      <c r="D492" s="32" t="s">
        <v>482</v>
      </c>
      <c r="E492" s="33">
        <f>0.12</f>
        <v>0.12</v>
      </c>
    </row>
    <row r="493" spans="1:5" ht="51">
      <c r="A493" s="5" t="s">
        <v>63</v>
      </c>
      <c r="B493" s="9" t="s">
        <v>15</v>
      </c>
      <c r="C493" s="23" t="s">
        <v>341</v>
      </c>
      <c r="D493" s="32" t="s">
        <v>483</v>
      </c>
      <c r="E493" s="33">
        <f>0.038</f>
        <v>3.7999999999999999E-2</v>
      </c>
    </row>
    <row r="494" spans="1:5" ht="51">
      <c r="A494" s="5" t="s">
        <v>63</v>
      </c>
      <c r="B494" s="9" t="s">
        <v>15</v>
      </c>
      <c r="C494" s="23" t="s">
        <v>341</v>
      </c>
      <c r="D494" s="32" t="s">
        <v>484</v>
      </c>
      <c r="E494" s="33">
        <f>0.04</f>
        <v>0.04</v>
      </c>
    </row>
    <row r="495" spans="1:5" ht="51">
      <c r="A495" s="5" t="s">
        <v>63</v>
      </c>
      <c r="B495" s="9" t="s">
        <v>15</v>
      </c>
      <c r="C495" s="23" t="s">
        <v>358</v>
      </c>
      <c r="D495" s="32" t="s">
        <v>485</v>
      </c>
      <c r="E495" s="33">
        <f>4.55-2.262-0.012-0.726-0.248-0.24-0.246-(0.046)-0.122-0.14-(0.002)</f>
        <v>0.50599999999999978</v>
      </c>
    </row>
    <row r="496" spans="1:5" ht="51">
      <c r="A496" s="5" t="s">
        <v>63</v>
      </c>
      <c r="B496" s="9" t="s">
        <v>15</v>
      </c>
      <c r="C496" s="23" t="s">
        <v>358</v>
      </c>
      <c r="D496" s="32" t="s">
        <v>486</v>
      </c>
      <c r="E496" s="33">
        <f>4.45-2.412+(0.07)-0.306-0.034</f>
        <v>1.768</v>
      </c>
    </row>
    <row r="497" spans="1:5" ht="51">
      <c r="A497" s="5" t="s">
        <v>63</v>
      </c>
      <c r="B497" s="9" t="s">
        <v>15</v>
      </c>
      <c r="C497" s="23" t="s">
        <v>358</v>
      </c>
      <c r="D497" s="32" t="s">
        <v>487</v>
      </c>
      <c r="E497" s="33">
        <f>8.98-4.518-2.1</f>
        <v>2.3620000000000005</v>
      </c>
    </row>
    <row r="498" spans="1:5" ht="51">
      <c r="A498" s="5" t="s">
        <v>63</v>
      </c>
      <c r="B498" s="9" t="s">
        <v>15</v>
      </c>
      <c r="C498" s="23" t="s">
        <v>358</v>
      </c>
      <c r="D498" s="32" t="s">
        <v>488</v>
      </c>
      <c r="E498" s="33">
        <f>9.546-4.79-3.786-(0.018)</f>
        <v>0.95199999999999929</v>
      </c>
    </row>
    <row r="499" spans="1:5" ht="51">
      <c r="A499" s="5" t="s">
        <v>63</v>
      </c>
      <c r="B499" s="9" t="s">
        <v>15</v>
      </c>
      <c r="C499" s="23" t="s">
        <v>358</v>
      </c>
      <c r="D499" s="32" t="s">
        <v>489</v>
      </c>
      <c r="E499" s="33">
        <f>4.79-2.86-0.3-0.348-0.354-0.118-(0.034)</f>
        <v>0.77600000000000002</v>
      </c>
    </row>
    <row r="500" spans="1:5" ht="51">
      <c r="A500" s="5" t="s">
        <v>63</v>
      </c>
      <c r="B500" s="9" t="s">
        <v>15</v>
      </c>
      <c r="C500" s="23" t="s">
        <v>341</v>
      </c>
      <c r="D500" s="32" t="s">
        <v>490</v>
      </c>
      <c r="E500" s="33">
        <f>0.076</f>
        <v>7.5999999999999998E-2</v>
      </c>
    </row>
    <row r="501" spans="1:5" ht="51">
      <c r="A501" s="5" t="s">
        <v>63</v>
      </c>
      <c r="B501" s="9" t="s">
        <v>15</v>
      </c>
      <c r="C501" s="23" t="s">
        <v>341</v>
      </c>
      <c r="D501" s="32" t="s">
        <v>491</v>
      </c>
      <c r="E501" s="33">
        <f>0.062</f>
        <v>6.2E-2</v>
      </c>
    </row>
    <row r="502" spans="1:5" ht="51">
      <c r="A502" s="5" t="s">
        <v>63</v>
      </c>
      <c r="B502" s="9" t="s">
        <v>15</v>
      </c>
      <c r="C502" s="23" t="s">
        <v>341</v>
      </c>
      <c r="D502" s="32" t="s">
        <v>492</v>
      </c>
      <c r="E502" s="33">
        <f>2.71-1.432+(0.096)-0.09-0.1-0.03-0.076</f>
        <v>1.0779999999999998</v>
      </c>
    </row>
    <row r="503" spans="1:5" ht="51">
      <c r="A503" s="5" t="s">
        <v>63</v>
      </c>
      <c r="B503" s="9" t="s">
        <v>15</v>
      </c>
      <c r="C503" s="23" t="s">
        <v>341</v>
      </c>
      <c r="D503" s="32" t="s">
        <v>493</v>
      </c>
      <c r="E503" s="33">
        <f>10.098-5.11-2.538-1.706+(0.117)-0.061-0.219</f>
        <v>0.58100000000000074</v>
      </c>
    </row>
    <row r="504" spans="1:5" ht="51">
      <c r="A504" s="5" t="s">
        <v>63</v>
      </c>
      <c r="B504" s="9" t="s">
        <v>15</v>
      </c>
      <c r="C504" s="23" t="s">
        <v>341</v>
      </c>
      <c r="D504" s="32" t="s">
        <v>494</v>
      </c>
      <c r="E504" s="33">
        <f>5.11-1.268-2.528-(0.014)-1.098-(0.004)</f>
        <v>0.1980000000000004</v>
      </c>
    </row>
    <row r="505" spans="1:5" ht="51">
      <c r="A505" s="5" t="s">
        <v>63</v>
      </c>
      <c r="B505" s="9" t="s">
        <v>15</v>
      </c>
      <c r="C505" s="23" t="s">
        <v>341</v>
      </c>
      <c r="D505" s="32" t="s">
        <v>495</v>
      </c>
      <c r="E505" s="33">
        <f>5.132-2.57+(0.042)-1.106-0.614</f>
        <v>0.88399999999999956</v>
      </c>
    </row>
    <row r="506" spans="1:5" ht="51">
      <c r="A506" s="5" t="s">
        <v>63</v>
      </c>
      <c r="B506" s="9" t="s">
        <v>15</v>
      </c>
      <c r="C506" s="23" t="s">
        <v>341</v>
      </c>
      <c r="D506" s="32" t="s">
        <v>496</v>
      </c>
      <c r="E506" s="33">
        <f>0.614</f>
        <v>0.61399999999999999</v>
      </c>
    </row>
    <row r="507" spans="1:5" ht="51">
      <c r="A507" s="5" t="s">
        <v>63</v>
      </c>
      <c r="B507" s="9" t="s">
        <v>15</v>
      </c>
      <c r="C507" s="23" t="s">
        <v>358</v>
      </c>
      <c r="D507" s="32" t="s">
        <v>497</v>
      </c>
      <c r="E507" s="33">
        <f>10.264-5.278</f>
        <v>4.9859999999999998</v>
      </c>
    </row>
    <row r="508" spans="1:5" ht="51">
      <c r="A508" s="5" t="s">
        <v>63</v>
      </c>
      <c r="B508" s="9" t="s">
        <v>15</v>
      </c>
      <c r="C508" s="23" t="s">
        <v>358</v>
      </c>
      <c r="D508" s="32" t="s">
        <v>498</v>
      </c>
      <c r="E508" s="33">
        <f>5.278-1.312</f>
        <v>3.9659999999999993</v>
      </c>
    </row>
    <row r="509" spans="1:5" ht="51">
      <c r="A509" s="5" t="s">
        <v>63</v>
      </c>
      <c r="B509" s="9" t="s">
        <v>15</v>
      </c>
      <c r="C509" s="23" t="s">
        <v>358</v>
      </c>
      <c r="D509" s="32" t="s">
        <v>497</v>
      </c>
      <c r="E509" s="33">
        <f>10.75</f>
        <v>10.75</v>
      </c>
    </row>
    <row r="510" spans="1:5" ht="51">
      <c r="A510" s="5" t="s">
        <v>63</v>
      </c>
      <c r="B510" s="9" t="s">
        <v>15</v>
      </c>
      <c r="C510" s="23" t="s">
        <v>341</v>
      </c>
      <c r="D510" s="32" t="s">
        <v>499</v>
      </c>
      <c r="E510" s="33">
        <f>9.96</f>
        <v>9.9600000000000009</v>
      </c>
    </row>
    <row r="511" spans="1:5" ht="51">
      <c r="A511" s="5" t="s">
        <v>63</v>
      </c>
      <c r="B511" s="9" t="s">
        <v>15</v>
      </c>
      <c r="C511" s="23" t="s">
        <v>341</v>
      </c>
      <c r="D511" s="32" t="s">
        <v>500</v>
      </c>
      <c r="E511" s="34">
        <f>5.865-0.028-0.018-0.074+(0.196)-2.016-0.823</f>
        <v>3.1020000000000008</v>
      </c>
    </row>
    <row r="512" spans="1:5" ht="51">
      <c r="A512" s="5" t="s">
        <v>63</v>
      </c>
      <c r="B512" s="9" t="s">
        <v>15</v>
      </c>
      <c r="C512" s="23" t="s">
        <v>341</v>
      </c>
      <c r="D512" s="32" t="s">
        <v>379</v>
      </c>
      <c r="E512" s="33">
        <f>17.595-5.865</f>
        <v>11.729999999999999</v>
      </c>
    </row>
    <row r="513" spans="1:5" ht="51">
      <c r="A513" s="5" t="s">
        <v>63</v>
      </c>
      <c r="B513" s="9" t="s">
        <v>15</v>
      </c>
      <c r="C513" s="23" t="s">
        <v>341</v>
      </c>
      <c r="D513" s="32" t="s">
        <v>501</v>
      </c>
      <c r="E513" s="34">
        <f>12.982-6.491-1.494-(0.041)-0.546-(0.004)</f>
        <v>4.4059999999999997</v>
      </c>
    </row>
    <row r="514" spans="1:5" ht="51">
      <c r="A514" s="5" t="s">
        <v>63</v>
      </c>
      <c r="B514" s="9" t="s">
        <v>15</v>
      </c>
      <c r="C514" s="23" t="s">
        <v>341</v>
      </c>
      <c r="D514" s="32" t="s">
        <v>502</v>
      </c>
      <c r="E514" s="34">
        <f>1.494-0.112-(0.022)-0.598-(0.002)</f>
        <v>0.7599999999999999</v>
      </c>
    </row>
    <row r="515" spans="1:5" ht="51">
      <c r="A515" s="5" t="s">
        <v>63</v>
      </c>
      <c r="B515" s="9" t="s">
        <v>15</v>
      </c>
      <c r="C515" s="23" t="s">
        <v>341</v>
      </c>
      <c r="D515" s="32" t="s">
        <v>384</v>
      </c>
      <c r="E515" s="34">
        <f>13.196-6.598</f>
        <v>6.5979999999999999</v>
      </c>
    </row>
    <row r="516" spans="1:5" ht="51">
      <c r="A516" s="5" t="s">
        <v>63</v>
      </c>
      <c r="B516" s="9" t="s">
        <v>15</v>
      </c>
      <c r="C516" s="23" t="s">
        <v>341</v>
      </c>
      <c r="D516" s="32" t="s">
        <v>503</v>
      </c>
      <c r="E516" s="33">
        <f>14.662-7.414-1.592-0.88+(0.118)-1.246-(0.004)-0.808-(0.008)-0.628-1.604-(0.005)</f>
        <v>0.59100000000000097</v>
      </c>
    </row>
    <row r="517" spans="1:5" ht="51">
      <c r="A517" s="5" t="s">
        <v>63</v>
      </c>
      <c r="B517" s="9" t="s">
        <v>15</v>
      </c>
      <c r="C517" s="23" t="s">
        <v>341</v>
      </c>
      <c r="D517" s="32" t="s">
        <v>504</v>
      </c>
      <c r="E517" s="33">
        <f>0.88</f>
        <v>0.88</v>
      </c>
    </row>
    <row r="518" spans="1:5" ht="51">
      <c r="A518" s="5" t="s">
        <v>63</v>
      </c>
      <c r="B518" s="9" t="s">
        <v>15</v>
      </c>
      <c r="C518" s="23" t="s">
        <v>341</v>
      </c>
      <c r="D518" s="32" t="s">
        <v>505</v>
      </c>
      <c r="E518" s="33">
        <f>7.414-0.994-4.914-(0.038)</f>
        <v>1.4680000000000002</v>
      </c>
    </row>
    <row r="519" spans="1:5" ht="51">
      <c r="A519" s="5" t="s">
        <v>63</v>
      </c>
      <c r="B519" s="9" t="s">
        <v>15</v>
      </c>
      <c r="C519" s="23" t="s">
        <v>341</v>
      </c>
      <c r="D519" s="32" t="s">
        <v>391</v>
      </c>
      <c r="E519" s="33">
        <f>14.662-7.522+(0.191)</f>
        <v>7.3310000000000004</v>
      </c>
    </row>
    <row r="520" spans="1:5" ht="51">
      <c r="A520" s="5" t="s">
        <v>63</v>
      </c>
      <c r="B520" s="9" t="s">
        <v>15</v>
      </c>
      <c r="C520" s="23" t="s">
        <v>341</v>
      </c>
      <c r="D520" s="32" t="s">
        <v>506</v>
      </c>
      <c r="E520" s="33">
        <f>7.522-3.754</f>
        <v>3.7680000000000002</v>
      </c>
    </row>
    <row r="521" spans="1:5" ht="51">
      <c r="A521" s="5" t="s">
        <v>63</v>
      </c>
      <c r="B521" s="9" t="s">
        <v>15</v>
      </c>
      <c r="C521" s="23" t="s">
        <v>507</v>
      </c>
      <c r="D521" s="32" t="s">
        <v>508</v>
      </c>
      <c r="E521" s="33">
        <f>8.146-2.802+(0.27)-1.1-1.408-0.644-(0.048)-1.558-(0.004)</f>
        <v>0.85200000000000098</v>
      </c>
    </row>
    <row r="522" spans="1:5" ht="51">
      <c r="A522" s="5" t="s">
        <v>63</v>
      </c>
      <c r="B522" s="9" t="s">
        <v>15</v>
      </c>
      <c r="C522" s="23" t="s">
        <v>341</v>
      </c>
      <c r="D522" s="32" t="s">
        <v>509</v>
      </c>
      <c r="E522" s="33">
        <f>8.146-1.338-0.22-0.518-0.096+(0.156)</f>
        <v>6.1300000000000008</v>
      </c>
    </row>
    <row r="523" spans="1:5" ht="51">
      <c r="A523" s="5" t="s">
        <v>63</v>
      </c>
      <c r="B523" s="9" t="s">
        <v>15</v>
      </c>
      <c r="C523" s="23" t="s">
        <v>341</v>
      </c>
      <c r="D523" s="32" t="s">
        <v>393</v>
      </c>
      <c r="E523" s="33">
        <f>16.39</f>
        <v>16.39</v>
      </c>
    </row>
    <row r="524" spans="1:5" ht="51">
      <c r="A524" s="5" t="s">
        <v>63</v>
      </c>
      <c r="B524" s="9" t="s">
        <v>15</v>
      </c>
      <c r="C524" s="23" t="s">
        <v>510</v>
      </c>
      <c r="D524" s="32" t="s">
        <v>511</v>
      </c>
      <c r="E524" s="34">
        <f>17.488-8.78-0.168-0.138-0.1-0.142+(0.094)-2.218-1.234-2.568-0.75</f>
        <v>1.4840000000000013</v>
      </c>
    </row>
    <row r="525" spans="1:5" ht="51">
      <c r="A525" s="5" t="s">
        <v>63</v>
      </c>
      <c r="B525" s="9" t="s">
        <v>15</v>
      </c>
      <c r="C525" s="23" t="s">
        <v>510</v>
      </c>
      <c r="D525" s="32" t="s">
        <v>512</v>
      </c>
      <c r="E525" s="34">
        <f>2.568</f>
        <v>2.5680000000000001</v>
      </c>
    </row>
    <row r="526" spans="1:5" ht="51">
      <c r="A526" s="5" t="s">
        <v>63</v>
      </c>
      <c r="B526" s="9" t="s">
        <v>15</v>
      </c>
      <c r="C526" s="23" t="s">
        <v>513</v>
      </c>
      <c r="D526" s="32" t="s">
        <v>396</v>
      </c>
      <c r="E526" s="34">
        <f>17.772-8.886</f>
        <v>8.8859999999999992</v>
      </c>
    </row>
    <row r="527" spans="1:5" ht="51">
      <c r="A527" s="5" t="s">
        <v>63</v>
      </c>
      <c r="B527" s="9" t="s">
        <v>15</v>
      </c>
      <c r="C527" s="23" t="s">
        <v>341</v>
      </c>
      <c r="D527" s="32" t="s">
        <v>514</v>
      </c>
      <c r="E527" s="33">
        <f>9.627-4.888+0.141-1.674-(0.01)-1.624-(0.012)-0.39-(0.008)</f>
        <v>1.1620000000000008</v>
      </c>
    </row>
    <row r="528" spans="1:5" ht="51">
      <c r="A528" s="5" t="s">
        <v>63</v>
      </c>
      <c r="B528" s="9" t="s">
        <v>15</v>
      </c>
      <c r="C528" s="23" t="s">
        <v>341</v>
      </c>
      <c r="D528" s="32" t="s">
        <v>515</v>
      </c>
      <c r="E528" s="33">
        <f>19.254-9.627-2.466+(0.129)</f>
        <v>7.2900000000000009</v>
      </c>
    </row>
    <row r="529" spans="1:5" ht="51">
      <c r="A529" s="5" t="s">
        <v>63</v>
      </c>
      <c r="B529" s="9" t="s">
        <v>15</v>
      </c>
      <c r="C529" s="23" t="s">
        <v>341</v>
      </c>
      <c r="D529" s="32" t="s">
        <v>516</v>
      </c>
      <c r="E529" s="33">
        <f>9.852-0.604+(0.191)-2.846-0.652-0.906</f>
        <v>5.0350000000000019</v>
      </c>
    </row>
    <row r="530" spans="1:5" ht="51">
      <c r="A530" s="5" t="s">
        <v>63</v>
      </c>
      <c r="B530" s="9" t="s">
        <v>15</v>
      </c>
      <c r="C530" s="23" t="s">
        <v>358</v>
      </c>
      <c r="D530" s="32" t="s">
        <v>399</v>
      </c>
      <c r="E530" s="33">
        <f>20.25-10.13</f>
        <v>10.119999999999999</v>
      </c>
    </row>
    <row r="531" spans="1:5" ht="51">
      <c r="A531" s="5" t="s">
        <v>63</v>
      </c>
      <c r="B531" s="9" t="s">
        <v>15</v>
      </c>
      <c r="C531" s="23" t="s">
        <v>341</v>
      </c>
      <c r="D531" s="32" t="s">
        <v>400</v>
      </c>
      <c r="E531" s="33">
        <f>18.536-9.268</f>
        <v>9.2680000000000007</v>
      </c>
    </row>
    <row r="532" spans="1:5" ht="51">
      <c r="A532" s="5" t="s">
        <v>63</v>
      </c>
      <c r="B532" s="9" t="s">
        <v>15</v>
      </c>
      <c r="C532" s="23" t="s">
        <v>341</v>
      </c>
      <c r="D532" s="32" t="s">
        <v>517</v>
      </c>
      <c r="E532" s="33">
        <f>9.268-3.752+(0.054)</f>
        <v>5.5700000000000012</v>
      </c>
    </row>
    <row r="533" spans="1:5" ht="51">
      <c r="A533" s="5" t="s">
        <v>63</v>
      </c>
      <c r="B533" s="9" t="s">
        <v>15</v>
      </c>
      <c r="C533" s="23" t="s">
        <v>341</v>
      </c>
      <c r="D533" s="32" t="s">
        <v>403</v>
      </c>
      <c r="E533" s="33">
        <f>9.886</f>
        <v>9.8859999999999992</v>
      </c>
    </row>
    <row r="534" spans="1:5" ht="51">
      <c r="A534" s="5" t="s">
        <v>63</v>
      </c>
      <c r="B534" s="11" t="s">
        <v>16</v>
      </c>
      <c r="C534" s="21" t="s">
        <v>518</v>
      </c>
      <c r="D534" s="14" t="s">
        <v>519</v>
      </c>
      <c r="E534" s="15">
        <f>3.57-1.708-0.97-0.15-0.086-(0.002)-0.145-(0.001)-0.07-(0.001)-0.072</f>
        <v>0.36499999999999988</v>
      </c>
    </row>
    <row r="535" spans="1:5" ht="51">
      <c r="A535" s="5" t="s">
        <v>63</v>
      </c>
      <c r="B535" s="11" t="s">
        <v>16</v>
      </c>
      <c r="C535" s="21" t="s">
        <v>178</v>
      </c>
      <c r="D535" s="14" t="s">
        <v>520</v>
      </c>
      <c r="E535" s="16">
        <f>2.855-1.406-(0.049)-0.146-(0.002)</f>
        <v>1.2520000000000002</v>
      </c>
    </row>
    <row r="536" spans="1:5" ht="51">
      <c r="A536" s="5" t="s">
        <v>63</v>
      </c>
      <c r="B536" s="11" t="s">
        <v>16</v>
      </c>
      <c r="C536" s="21" t="s">
        <v>175</v>
      </c>
      <c r="D536" s="14" t="s">
        <v>467</v>
      </c>
      <c r="E536" s="16">
        <f>5.71-2.79</f>
        <v>2.92</v>
      </c>
    </row>
    <row r="537" spans="1:5" ht="51">
      <c r="A537" s="5" t="s">
        <v>63</v>
      </c>
      <c r="B537" s="11" t="s">
        <v>16</v>
      </c>
      <c r="C537" s="21" t="s">
        <v>518</v>
      </c>
      <c r="D537" s="14" t="s">
        <v>521</v>
      </c>
      <c r="E537" s="15">
        <f>3.212-0.546+0.004-0.27-1.604-0.586</f>
        <v>0.2100000000000003</v>
      </c>
    </row>
    <row r="538" spans="1:5" ht="51">
      <c r="A538" s="5" t="s">
        <v>63</v>
      </c>
      <c r="B538" s="11" t="s">
        <v>16</v>
      </c>
      <c r="C538" s="21" t="s">
        <v>522</v>
      </c>
      <c r="D538" s="14" t="s">
        <v>523</v>
      </c>
      <c r="E538" s="16">
        <f>3.569-1.772-0.013-0.594-0.006-0.534-0.148-(0.002)</f>
        <v>0.49999999999999989</v>
      </c>
    </row>
    <row r="539" spans="1:5" ht="51">
      <c r="A539" s="5" t="s">
        <v>63</v>
      </c>
      <c r="B539" s="11" t="s">
        <v>16</v>
      </c>
      <c r="C539" s="21" t="s">
        <v>522</v>
      </c>
      <c r="D539" s="14" t="s">
        <v>524</v>
      </c>
      <c r="E539" s="16">
        <f>3.67-1.824-(0.006)</f>
        <v>1.8399999999999999</v>
      </c>
    </row>
    <row r="540" spans="1:5" ht="51">
      <c r="A540" s="5" t="s">
        <v>63</v>
      </c>
      <c r="B540" s="11" t="s">
        <v>16</v>
      </c>
      <c r="C540" s="21" t="s">
        <v>518</v>
      </c>
      <c r="D540" s="14" t="s">
        <v>525</v>
      </c>
      <c r="E540" s="15">
        <f>4.74-2.108+0.02-0.612-1.506</f>
        <v>0.53400000000000003</v>
      </c>
    </row>
    <row r="541" spans="1:5" ht="51">
      <c r="A541" s="5" t="s">
        <v>63</v>
      </c>
      <c r="B541" s="9" t="s">
        <v>9</v>
      </c>
      <c r="C541" s="23" t="s">
        <v>358</v>
      </c>
      <c r="D541" s="28" t="s">
        <v>196</v>
      </c>
      <c r="E541" s="31">
        <f>14.98-0.425-0.428-0.428-0.424-10.13</f>
        <v>3.1449999999999978</v>
      </c>
    </row>
    <row r="542" spans="1:5" ht="51">
      <c r="A542" s="5" t="s">
        <v>63</v>
      </c>
      <c r="B542" s="9" t="s">
        <v>9</v>
      </c>
      <c r="C542" s="23" t="s">
        <v>336</v>
      </c>
      <c r="D542" s="28" t="s">
        <v>526</v>
      </c>
      <c r="E542" s="31">
        <f>0.425-0.213-0.143</f>
        <v>6.9000000000000006E-2</v>
      </c>
    </row>
    <row r="543" spans="1:5" ht="51">
      <c r="A543" s="5" t="s">
        <v>63</v>
      </c>
      <c r="B543" s="9" t="s">
        <v>9</v>
      </c>
      <c r="C543" s="23" t="s">
        <v>358</v>
      </c>
      <c r="D543" s="32" t="s">
        <v>527</v>
      </c>
      <c r="E543" s="31">
        <f>2.295-0.569-0.57-0.57-0.437-(0.023)</f>
        <v>0.1260000000000002</v>
      </c>
    </row>
    <row r="544" spans="1:5" ht="51">
      <c r="A544" s="5" t="s">
        <v>63</v>
      </c>
      <c r="B544" s="9" t="s">
        <v>9</v>
      </c>
      <c r="C544" s="23" t="s">
        <v>358</v>
      </c>
      <c r="D544" s="32" t="s">
        <v>528</v>
      </c>
      <c r="E544" s="31">
        <f>0.57-0.05-0.285-(0.002)</f>
        <v>0.23299999999999993</v>
      </c>
    </row>
    <row r="545" spans="1:5" ht="51">
      <c r="A545" s="5" t="s">
        <v>63</v>
      </c>
      <c r="B545" s="9" t="s">
        <v>9</v>
      </c>
      <c r="C545" s="23" t="s">
        <v>358</v>
      </c>
      <c r="D545" s="32" t="s">
        <v>190</v>
      </c>
      <c r="E545" s="31">
        <f>13.675-0.569-8</f>
        <v>5.1060000000000016</v>
      </c>
    </row>
    <row r="546" spans="1:5" ht="51">
      <c r="A546" s="5" t="s">
        <v>63</v>
      </c>
      <c r="B546" s="9" t="s">
        <v>9</v>
      </c>
      <c r="C546" s="23" t="s">
        <v>358</v>
      </c>
      <c r="D546" s="32" t="s">
        <v>529</v>
      </c>
      <c r="E546" s="31">
        <f>0.569-0.285</f>
        <v>0.28399999999999997</v>
      </c>
    </row>
    <row r="547" spans="1:5" ht="51">
      <c r="A547" s="5" t="s">
        <v>63</v>
      </c>
      <c r="B547" s="9" t="s">
        <v>9</v>
      </c>
      <c r="C547" s="23" t="s">
        <v>336</v>
      </c>
      <c r="D547" s="32" t="s">
        <v>530</v>
      </c>
      <c r="E547" s="31">
        <f>2.13-0.71-0.722-0.03+(0.004)-0.03-0.41-(0.003)-0.059</f>
        <v>0.16999999999999993</v>
      </c>
    </row>
    <row r="548" spans="1:5" ht="51">
      <c r="A548" s="5" t="s">
        <v>63</v>
      </c>
      <c r="B548" s="9" t="s">
        <v>9</v>
      </c>
      <c r="C548" s="23" t="s">
        <v>358</v>
      </c>
      <c r="D548" s="32" t="s">
        <v>188</v>
      </c>
      <c r="E548" s="31">
        <f>12.825-0.707-7</f>
        <v>5.1179999999999986</v>
      </c>
    </row>
    <row r="549" spans="1:5" ht="51">
      <c r="A549" s="5" t="s">
        <v>63</v>
      </c>
      <c r="B549" s="9" t="s">
        <v>9</v>
      </c>
      <c r="C549" s="23" t="s">
        <v>358</v>
      </c>
      <c r="D549" s="32" t="s">
        <v>188</v>
      </c>
      <c r="E549" s="31">
        <f>3.575-0.714-0.709-0.718-0.718</f>
        <v>0.71600000000000019</v>
      </c>
    </row>
    <row r="550" spans="1:5" ht="51">
      <c r="A550" s="5" t="s">
        <v>63</v>
      </c>
      <c r="B550" s="10" t="s">
        <v>9</v>
      </c>
      <c r="C550" s="23" t="s">
        <v>358</v>
      </c>
      <c r="D550" s="32" t="s">
        <v>531</v>
      </c>
      <c r="E550" s="31">
        <f>0.709-0.606</f>
        <v>0.10299999999999998</v>
      </c>
    </row>
    <row r="551" spans="1:5" ht="51">
      <c r="A551" s="5" t="s">
        <v>63</v>
      </c>
      <c r="B551" s="9" t="s">
        <v>9</v>
      </c>
      <c r="C551" s="23" t="s">
        <v>358</v>
      </c>
      <c r="D551" s="32" t="s">
        <v>532</v>
      </c>
      <c r="E551" s="31">
        <f>0.718-0.36</f>
        <v>0.35799999999999998</v>
      </c>
    </row>
    <row r="552" spans="1:5" ht="51">
      <c r="A552" s="5" t="s">
        <v>63</v>
      </c>
      <c r="B552" s="9" t="s">
        <v>9</v>
      </c>
      <c r="C552" s="23" t="s">
        <v>336</v>
      </c>
      <c r="D552" s="32" t="s">
        <v>533</v>
      </c>
      <c r="E552" s="31">
        <f>2.556-0.856-0.85-0.072</f>
        <v>0.77800000000000025</v>
      </c>
    </row>
    <row r="553" spans="1:5" ht="51">
      <c r="A553" s="5" t="s">
        <v>63</v>
      </c>
      <c r="B553" s="10" t="s">
        <v>9</v>
      </c>
      <c r="C553" s="23" t="s">
        <v>358</v>
      </c>
      <c r="D553" s="32" t="s">
        <v>534</v>
      </c>
      <c r="E553" s="31">
        <f>0.85-0.036-0.074-0.141-(0.004)-0.303-0.005-0.015</f>
        <v>0.27199999999999996</v>
      </c>
    </row>
    <row r="554" spans="1:5" ht="51">
      <c r="A554" s="5" t="s">
        <v>63</v>
      </c>
      <c r="B554" s="10" t="s">
        <v>9</v>
      </c>
      <c r="C554" s="23" t="s">
        <v>358</v>
      </c>
      <c r="D554" s="32" t="s">
        <v>535</v>
      </c>
      <c r="E554" s="31">
        <f>0.846-0.708-0.086</f>
        <v>5.2000000000000018E-2</v>
      </c>
    </row>
    <row r="555" spans="1:5" ht="51">
      <c r="A555" s="5" t="s">
        <v>63</v>
      </c>
      <c r="B555" s="10" t="s">
        <v>9</v>
      </c>
      <c r="C555" s="23" t="s">
        <v>536</v>
      </c>
      <c r="D555" s="32" t="s">
        <v>185</v>
      </c>
      <c r="E555" s="31">
        <f>2.556-0.852-0.838</f>
        <v>0.86600000000000021</v>
      </c>
    </row>
    <row r="556" spans="1:5" ht="51">
      <c r="A556" s="5" t="s">
        <v>63</v>
      </c>
      <c r="B556" s="9" t="s">
        <v>9</v>
      </c>
      <c r="C556" s="23" t="s">
        <v>536</v>
      </c>
      <c r="D556" s="32" t="s">
        <v>537</v>
      </c>
      <c r="E556" s="31">
        <f>0.852-0.43</f>
        <v>0.42199999999999999</v>
      </c>
    </row>
    <row r="557" spans="1:5" ht="51">
      <c r="A557" s="5" t="s">
        <v>63</v>
      </c>
      <c r="B557" s="9" t="s">
        <v>9</v>
      </c>
      <c r="C557" s="23" t="s">
        <v>336</v>
      </c>
      <c r="D557" s="32" t="s">
        <v>538</v>
      </c>
      <c r="E557" s="31">
        <f>2.982-1.982-0.326-(0.014)-0.084-0.166-(0.002)-0.086-0.084</f>
        <v>0.23800000000000016</v>
      </c>
    </row>
    <row r="558" spans="1:5" ht="51">
      <c r="A558" s="5" t="s">
        <v>63</v>
      </c>
      <c r="B558" s="9" t="s">
        <v>9</v>
      </c>
      <c r="C558" s="23" t="s">
        <v>341</v>
      </c>
      <c r="D558" s="32" t="s">
        <v>218</v>
      </c>
      <c r="E558" s="31">
        <f>2.982-0.983</f>
        <v>1.9990000000000001</v>
      </c>
    </row>
    <row r="559" spans="1:5" ht="51">
      <c r="A559" s="5" t="s">
        <v>63</v>
      </c>
      <c r="B559" s="9" t="s">
        <v>9</v>
      </c>
      <c r="C559" s="23" t="s">
        <v>341</v>
      </c>
      <c r="D559" s="32" t="s">
        <v>539</v>
      </c>
      <c r="E559" s="31">
        <f>0.983-0.325</f>
        <v>0.65799999999999992</v>
      </c>
    </row>
    <row r="560" spans="1:5" ht="51">
      <c r="A560" s="5" t="s">
        <v>63</v>
      </c>
      <c r="B560" s="9" t="s">
        <v>9</v>
      </c>
      <c r="C560" s="23" t="s">
        <v>358</v>
      </c>
      <c r="D560" s="32" t="s">
        <v>540</v>
      </c>
      <c r="E560" s="31">
        <f>5.308</f>
        <v>5.3079999999999998</v>
      </c>
    </row>
    <row r="561" spans="1:5" ht="51">
      <c r="A561" s="5" t="s">
        <v>63</v>
      </c>
      <c r="B561" s="9" t="s">
        <v>9</v>
      </c>
      <c r="C561" s="23" t="s">
        <v>358</v>
      </c>
      <c r="D561" s="32" t="s">
        <v>541</v>
      </c>
      <c r="E561" s="31">
        <f>2.842-1.428-0.097+(0.005)-0.061-0.073-0.061</f>
        <v>1.1270000000000002</v>
      </c>
    </row>
    <row r="562" spans="1:5" ht="51">
      <c r="A562" s="5" t="s">
        <v>63</v>
      </c>
      <c r="B562" s="9" t="s">
        <v>9</v>
      </c>
      <c r="C562" s="23" t="s">
        <v>341</v>
      </c>
      <c r="D562" s="32" t="s">
        <v>184</v>
      </c>
      <c r="E562" s="33">
        <f>3.411-1.136-1.137</f>
        <v>1.1380000000000003</v>
      </c>
    </row>
    <row r="563" spans="1:5" ht="51">
      <c r="A563" s="5" t="s">
        <v>63</v>
      </c>
      <c r="B563" s="9" t="s">
        <v>9</v>
      </c>
      <c r="C563" s="23" t="s">
        <v>341</v>
      </c>
      <c r="D563" s="32" t="s">
        <v>542</v>
      </c>
      <c r="E563" s="33">
        <f>1.137-0.57</f>
        <v>0.56700000000000006</v>
      </c>
    </row>
    <row r="564" spans="1:5" ht="51">
      <c r="A564" s="5" t="s">
        <v>63</v>
      </c>
      <c r="B564" s="9" t="s">
        <v>9</v>
      </c>
      <c r="C564" s="23" t="s">
        <v>341</v>
      </c>
      <c r="D564" s="32" t="s">
        <v>543</v>
      </c>
      <c r="E564" s="33">
        <f>1.136-0.568-0.098-0.189-(0.003)-0.045-(0.001)-0.081-(0.001)-0.018-0.026-(0.001)</f>
        <v>0.10499999999999998</v>
      </c>
    </row>
    <row r="565" spans="1:5" ht="51">
      <c r="A565" s="5" t="s">
        <v>63</v>
      </c>
      <c r="B565" s="9" t="s">
        <v>9</v>
      </c>
      <c r="C565" s="23" t="s">
        <v>341</v>
      </c>
      <c r="D565" s="23" t="s">
        <v>544</v>
      </c>
      <c r="E565" s="33">
        <f>0.026</f>
        <v>2.5999999999999999E-2</v>
      </c>
    </row>
    <row r="566" spans="1:5" ht="51">
      <c r="A566" s="5" t="s">
        <v>63</v>
      </c>
      <c r="B566" s="9" t="s">
        <v>9</v>
      </c>
      <c r="C566" s="23" t="s">
        <v>341</v>
      </c>
      <c r="D566" s="23" t="s">
        <v>545</v>
      </c>
      <c r="E566" s="33">
        <f>1.516-0.242-(0.016)-1.006-(0.004)</f>
        <v>0.248</v>
      </c>
    </row>
    <row r="567" spans="1:5" ht="51">
      <c r="A567" s="5" t="s">
        <v>63</v>
      </c>
      <c r="B567" s="9" t="s">
        <v>9</v>
      </c>
      <c r="C567" s="23" t="s">
        <v>352</v>
      </c>
      <c r="D567" s="32" t="s">
        <v>345</v>
      </c>
      <c r="E567" s="33">
        <f>3.032-1.48</f>
        <v>1.552</v>
      </c>
    </row>
    <row r="568" spans="1:5" ht="51">
      <c r="A568" s="5" t="s">
        <v>63</v>
      </c>
      <c r="B568" s="9" t="s">
        <v>9</v>
      </c>
      <c r="C568" s="23" t="s">
        <v>341</v>
      </c>
      <c r="D568" s="32" t="s">
        <v>546</v>
      </c>
      <c r="E568" s="33">
        <f>5.712-1.428-1.41-1.41-0.354-0.052-0.32-0.312-(0.012)-0.106-0.118-(0.004)-0.062-0.034</f>
        <v>8.9999999999999775E-2</v>
      </c>
    </row>
    <row r="569" spans="1:5" ht="51">
      <c r="A569" s="5" t="s">
        <v>63</v>
      </c>
      <c r="B569" s="10" t="s">
        <v>9</v>
      </c>
      <c r="C569" s="23" t="s">
        <v>341</v>
      </c>
      <c r="D569" s="32" t="s">
        <v>547</v>
      </c>
      <c r="E569" s="33">
        <f>1.396-0.698-0.304-(0.004)-0.12-(0.002)-0.062-0.03-(0.002)</f>
        <v>0.17399999999999996</v>
      </c>
    </row>
    <row r="570" spans="1:5" ht="51">
      <c r="A570" s="5" t="s">
        <v>63</v>
      </c>
      <c r="B570" s="10" t="s">
        <v>9</v>
      </c>
      <c r="C570" s="23" t="s">
        <v>341</v>
      </c>
      <c r="D570" s="32" t="s">
        <v>548</v>
      </c>
      <c r="E570" s="33">
        <f>0.03</f>
        <v>0.03</v>
      </c>
    </row>
    <row r="571" spans="1:5" ht="51">
      <c r="A571" s="5" t="s">
        <v>63</v>
      </c>
      <c r="B571" s="10" t="s">
        <v>9</v>
      </c>
      <c r="C571" s="23" t="s">
        <v>341</v>
      </c>
      <c r="D571" s="32" t="s">
        <v>549</v>
      </c>
      <c r="E571" s="33">
        <f>1.382-0.51-0.232-(0.004)-0.46</f>
        <v>0.17599999999999988</v>
      </c>
    </row>
    <row r="572" spans="1:5" ht="51">
      <c r="A572" s="5" t="s">
        <v>63</v>
      </c>
      <c r="B572" s="10" t="s">
        <v>9</v>
      </c>
      <c r="C572" s="23" t="s">
        <v>341</v>
      </c>
      <c r="D572" s="32" t="s">
        <v>550</v>
      </c>
      <c r="E572" s="33">
        <f>1.386-0.586-0.234-0.104-0.116-(0.004)-0.254</f>
        <v>8.7999999999999967E-2</v>
      </c>
    </row>
    <row r="573" spans="1:5" ht="51">
      <c r="A573" s="5" t="s">
        <v>63</v>
      </c>
      <c r="B573" s="10" t="s">
        <v>9</v>
      </c>
      <c r="C573" s="23" t="s">
        <v>341</v>
      </c>
      <c r="D573" s="32" t="s">
        <v>551</v>
      </c>
      <c r="E573" s="33">
        <f>1.392-0.696-0.5-0.12-(0.004)</f>
        <v>7.1999999999999953E-2</v>
      </c>
    </row>
    <row r="574" spans="1:5" ht="51">
      <c r="A574" s="5" t="s">
        <v>63</v>
      </c>
      <c r="B574" s="10" t="s">
        <v>9</v>
      </c>
      <c r="C574" s="23" t="s">
        <v>352</v>
      </c>
      <c r="D574" s="32" t="s">
        <v>552</v>
      </c>
      <c r="E574" s="33">
        <f>2.856-1.428-0.938-(0.025)-0.306-(0.001)</f>
        <v>0.15799999999999997</v>
      </c>
    </row>
    <row r="575" spans="1:5" ht="51">
      <c r="A575" s="5" t="s">
        <v>63</v>
      </c>
      <c r="B575" s="10" t="s">
        <v>9</v>
      </c>
      <c r="C575" s="23" t="s">
        <v>352</v>
      </c>
      <c r="D575" s="32" t="s">
        <v>553</v>
      </c>
      <c r="E575" s="33">
        <f>1.428-0.706-0.11-(0.03)-0.121-(0.002)-0.232-(0.003)-0.117-(0.002)</f>
        <v>0.10499999999999994</v>
      </c>
    </row>
    <row r="576" spans="1:5" ht="51">
      <c r="A576" s="5" t="s">
        <v>63</v>
      </c>
      <c r="B576" s="9" t="s">
        <v>9</v>
      </c>
      <c r="C576" s="23" t="s">
        <v>352</v>
      </c>
      <c r="D576" s="32" t="s">
        <v>554</v>
      </c>
      <c r="E576" s="33">
        <f>5.712-1.41-1.4-1.396-(0.106)-1.3-(0.002)</f>
        <v>9.7999999999999643E-2</v>
      </c>
    </row>
    <row r="577" spans="1:5" ht="51">
      <c r="A577" s="5" t="s">
        <v>63</v>
      </c>
      <c r="B577" s="9" t="s">
        <v>9</v>
      </c>
      <c r="C577" s="23" t="s">
        <v>352</v>
      </c>
      <c r="D577" s="32" t="s">
        <v>555</v>
      </c>
      <c r="E577" s="33">
        <f>1.428-1.015</f>
        <v>0.41300000000000003</v>
      </c>
    </row>
    <row r="578" spans="1:5" ht="51">
      <c r="A578" s="5" t="s">
        <v>63</v>
      </c>
      <c r="B578" s="9" t="s">
        <v>9</v>
      </c>
      <c r="C578" s="23" t="s">
        <v>352</v>
      </c>
      <c r="D578" s="32" t="s">
        <v>556</v>
      </c>
      <c r="E578" s="33">
        <f>1.406-0.35-0.704-0.258-(0.008)</f>
        <v>8.6000000000000076E-2</v>
      </c>
    </row>
    <row r="579" spans="1:5" ht="51">
      <c r="A579" s="5" t="s">
        <v>63</v>
      </c>
      <c r="B579" s="9" t="s">
        <v>9</v>
      </c>
      <c r="C579" s="23" t="s">
        <v>341</v>
      </c>
      <c r="D579" s="32" t="s">
        <v>557</v>
      </c>
      <c r="E579" s="33">
        <f>1.785-0.59-0.594-(0.021)-0.294-0.076-(0.002)-0.15</f>
        <v>5.7999999999999857E-2</v>
      </c>
    </row>
    <row r="580" spans="1:5" ht="51">
      <c r="A580" s="5" t="s">
        <v>63</v>
      </c>
      <c r="B580" s="9" t="s">
        <v>9</v>
      </c>
      <c r="C580" s="23" t="s">
        <v>341</v>
      </c>
      <c r="D580" s="32" t="s">
        <v>558</v>
      </c>
      <c r="E580" s="33">
        <f>3.57-1.736-(0.09)-0.232-(0.008)-0.396-(0.012)-0.438+(0.001)</f>
        <v>0.6589999999999997</v>
      </c>
    </row>
    <row r="581" spans="1:5" ht="51">
      <c r="A581" s="5" t="s">
        <v>63</v>
      </c>
      <c r="B581" s="10" t="s">
        <v>9</v>
      </c>
      <c r="C581" s="23" t="s">
        <v>341</v>
      </c>
      <c r="D581" s="32" t="s">
        <v>559</v>
      </c>
      <c r="E581" s="33">
        <f>1.736-0.09-0.18-1.18-(0.013)</f>
        <v>0.27300000000000002</v>
      </c>
    </row>
    <row r="582" spans="1:5" ht="51">
      <c r="A582" s="5" t="s">
        <v>63</v>
      </c>
      <c r="B582" s="10" t="s">
        <v>9</v>
      </c>
      <c r="C582" s="23" t="s">
        <v>352</v>
      </c>
      <c r="D582" s="32" t="s">
        <v>560</v>
      </c>
      <c r="E582" s="33">
        <f>0.047</f>
        <v>4.7E-2</v>
      </c>
    </row>
    <row r="583" spans="1:5" ht="51">
      <c r="A583" s="5" t="s">
        <v>63</v>
      </c>
      <c r="B583" s="10" t="s">
        <v>9</v>
      </c>
      <c r="C583" s="23" t="s">
        <v>352</v>
      </c>
      <c r="D583" s="32" t="s">
        <v>561</v>
      </c>
      <c r="E583" s="33">
        <f>8.568-2.142-2.108-(0.034)-2.2-0.93</f>
        <v>1.1539999999999995</v>
      </c>
    </row>
    <row r="584" spans="1:5" ht="51">
      <c r="A584" s="5" t="s">
        <v>63</v>
      </c>
      <c r="B584" s="10" t="s">
        <v>9</v>
      </c>
      <c r="C584" s="23" t="s">
        <v>352</v>
      </c>
      <c r="D584" s="32" t="s">
        <v>562</v>
      </c>
      <c r="E584" s="33">
        <f>2.142-1.048-0.11-(0.058)-0.352-(0.001)</f>
        <v>0.57299999999999984</v>
      </c>
    </row>
    <row r="585" spans="1:5" ht="51">
      <c r="A585" s="5" t="s">
        <v>63</v>
      </c>
      <c r="B585" s="10" t="s">
        <v>9</v>
      </c>
      <c r="C585" s="23" t="s">
        <v>352</v>
      </c>
      <c r="D585" s="32" t="s">
        <v>282</v>
      </c>
      <c r="E585" s="33">
        <f>4.284</f>
        <v>4.2839999999999998</v>
      </c>
    </row>
    <row r="586" spans="1:5" ht="51">
      <c r="A586" s="5" t="s">
        <v>63</v>
      </c>
      <c r="B586" s="10" t="s">
        <v>9</v>
      </c>
      <c r="C586" s="23" t="s">
        <v>341</v>
      </c>
      <c r="D586" s="32" t="s">
        <v>563</v>
      </c>
      <c r="E586" s="33">
        <f>5.14-2.502-1.888-(0.118)-0.052-(0.01)-0.47-(0.01)</f>
        <v>8.9999999999999983E-2</v>
      </c>
    </row>
    <row r="587" spans="1:5" ht="51">
      <c r="A587" s="5" t="s">
        <v>63</v>
      </c>
      <c r="B587" s="10" t="s">
        <v>9</v>
      </c>
      <c r="C587" s="23" t="s">
        <v>341</v>
      </c>
      <c r="D587" s="32" t="s">
        <v>463</v>
      </c>
      <c r="E587" s="33">
        <f>10.28-2.57-2.546</f>
        <v>5.1639999999999997</v>
      </c>
    </row>
    <row r="588" spans="1:5" ht="51">
      <c r="A588" s="5" t="s">
        <v>63</v>
      </c>
      <c r="B588" s="10" t="s">
        <v>9</v>
      </c>
      <c r="C588" s="23" t="s">
        <v>341</v>
      </c>
      <c r="D588" s="32" t="s">
        <v>564</v>
      </c>
      <c r="E588" s="33">
        <f>2.57-1.272-0.018-0.812-(0.002)-0.314-(0.006)</f>
        <v>0.14599999999999974</v>
      </c>
    </row>
    <row r="589" spans="1:5" ht="51">
      <c r="A589" s="5" t="s">
        <v>63</v>
      </c>
      <c r="B589" s="10" t="s">
        <v>9</v>
      </c>
      <c r="C589" s="23" t="s">
        <v>341</v>
      </c>
      <c r="D589" s="32" t="s">
        <v>565</v>
      </c>
      <c r="E589" s="33">
        <f>2.546-0.104</f>
        <v>2.4419999999999997</v>
      </c>
    </row>
    <row r="590" spans="1:5" ht="51">
      <c r="A590" s="5" t="s">
        <v>63</v>
      </c>
      <c r="B590" s="10" t="s">
        <v>9</v>
      </c>
      <c r="C590" s="23" t="s">
        <v>352</v>
      </c>
      <c r="D590" s="32" t="s">
        <v>566</v>
      </c>
      <c r="E590" s="33">
        <f>0.063</f>
        <v>6.3E-2</v>
      </c>
    </row>
    <row r="591" spans="1:5" ht="51">
      <c r="A591" s="5" t="s">
        <v>63</v>
      </c>
      <c r="B591" s="10" t="s">
        <v>9</v>
      </c>
      <c r="C591" s="23" t="s">
        <v>336</v>
      </c>
      <c r="D591" s="32" t="s">
        <v>567</v>
      </c>
      <c r="E591" s="33">
        <f>3.35-2.1-0.012-0.14-(0.016)-0.224-(0.002)-0.336-0.144-(0.004)-0.17-(0.004)</f>
        <v>0.19799999999999976</v>
      </c>
    </row>
    <row r="592" spans="1:5" ht="51">
      <c r="A592" s="5" t="s">
        <v>63</v>
      </c>
      <c r="B592" s="10" t="s">
        <v>9</v>
      </c>
      <c r="C592" s="23" t="s">
        <v>336</v>
      </c>
      <c r="D592" s="32" t="s">
        <v>568</v>
      </c>
      <c r="E592" s="33">
        <f>6.52-3.298-0.866+(0.022)-0.924-0.358-0.458-0.162-(0.014)</f>
        <v>0.46199999999999919</v>
      </c>
    </row>
    <row r="593" spans="1:5" ht="51">
      <c r="A593" s="5" t="s">
        <v>63</v>
      </c>
      <c r="B593" s="9" t="s">
        <v>9</v>
      </c>
      <c r="C593" s="23" t="s">
        <v>336</v>
      </c>
      <c r="D593" s="32" t="s">
        <v>569</v>
      </c>
      <c r="E593" s="33">
        <f>3.234-2.948</f>
        <v>0.28600000000000003</v>
      </c>
    </row>
    <row r="594" spans="1:5" ht="51">
      <c r="A594" s="5" t="s">
        <v>63</v>
      </c>
      <c r="B594" s="9" t="s">
        <v>9</v>
      </c>
      <c r="C594" s="23" t="s">
        <v>336</v>
      </c>
      <c r="D594" s="32" t="s">
        <v>570</v>
      </c>
      <c r="E594" s="33">
        <f>3.159-1.602-(0.005)-1.07</f>
        <v>0.48199999999999976</v>
      </c>
    </row>
    <row r="595" spans="1:5" ht="51">
      <c r="A595" s="5" t="s">
        <v>63</v>
      </c>
      <c r="B595" s="9" t="s">
        <v>9</v>
      </c>
      <c r="C595" s="23" t="s">
        <v>336</v>
      </c>
      <c r="D595" s="32" t="s">
        <v>571</v>
      </c>
      <c r="E595" s="33">
        <f>1.602</f>
        <v>1.6020000000000001</v>
      </c>
    </row>
    <row r="596" spans="1:5" ht="51">
      <c r="A596" s="5" t="s">
        <v>63</v>
      </c>
      <c r="B596" s="9" t="s">
        <v>9</v>
      </c>
      <c r="C596" s="23" t="s">
        <v>336</v>
      </c>
      <c r="D596" s="32" t="s">
        <v>364</v>
      </c>
      <c r="E596" s="33">
        <f>6.424-3.202-(0.01)</f>
        <v>3.2120000000000006</v>
      </c>
    </row>
    <row r="597" spans="1:5" ht="51">
      <c r="A597" s="5" t="s">
        <v>63</v>
      </c>
      <c r="B597" s="9" t="s">
        <v>9</v>
      </c>
      <c r="C597" s="23" t="s">
        <v>336</v>
      </c>
      <c r="D597" s="32" t="s">
        <v>572</v>
      </c>
      <c r="E597" s="33">
        <f>3.212-1.6</f>
        <v>1.6120000000000001</v>
      </c>
    </row>
    <row r="598" spans="1:5" ht="51">
      <c r="A598" s="5" t="s">
        <v>63</v>
      </c>
      <c r="B598" s="9" t="s">
        <v>9</v>
      </c>
      <c r="C598" s="23" t="s">
        <v>341</v>
      </c>
      <c r="D598" s="32" t="s">
        <v>573</v>
      </c>
      <c r="E598" s="33">
        <f>3.569-2.386+(0.009)-0.184-0.16-0.082-(0.006)</f>
        <v>0.75999999999999979</v>
      </c>
    </row>
    <row r="599" spans="1:5" ht="51">
      <c r="A599" s="5" t="s">
        <v>63</v>
      </c>
      <c r="B599" s="9" t="s">
        <v>9</v>
      </c>
      <c r="C599" s="23" t="s">
        <v>341</v>
      </c>
      <c r="D599" s="32" t="s">
        <v>574</v>
      </c>
      <c r="E599" s="33">
        <f>0.082</f>
        <v>8.2000000000000003E-2</v>
      </c>
    </row>
    <row r="600" spans="1:5" ht="51">
      <c r="A600" s="5" t="s">
        <v>63</v>
      </c>
      <c r="B600" s="9" t="s">
        <v>9</v>
      </c>
      <c r="C600" s="23" t="s">
        <v>358</v>
      </c>
      <c r="D600" s="32" t="s">
        <v>575</v>
      </c>
      <c r="E600" s="33">
        <f>3.75-0.906-(0.126)-1.212-1.216-(0.002)</f>
        <v>0.28800000000000003</v>
      </c>
    </row>
    <row r="601" spans="1:5" ht="51">
      <c r="A601" s="5" t="s">
        <v>63</v>
      </c>
      <c r="B601" s="9" t="s">
        <v>9</v>
      </c>
      <c r="C601" s="23" t="s">
        <v>352</v>
      </c>
      <c r="D601" s="32" t="s">
        <v>576</v>
      </c>
      <c r="E601" s="33">
        <f>3.674-1.226-1.514-(0.022)</f>
        <v>0.91199999999999992</v>
      </c>
    </row>
    <row r="602" spans="1:5" ht="51">
      <c r="A602" s="5" t="s">
        <v>63</v>
      </c>
      <c r="B602" s="9" t="s">
        <v>9</v>
      </c>
      <c r="C602" s="23" t="s">
        <v>352</v>
      </c>
      <c r="D602" s="32" t="s">
        <v>472</v>
      </c>
      <c r="E602" s="33">
        <f>3.76-0.734-0.546-0.364-(0.108)-1.042-(0.003)-0.612-(0.017)</f>
        <v>0.33399999999999952</v>
      </c>
    </row>
    <row r="603" spans="1:5" ht="51">
      <c r="A603" s="5" t="s">
        <v>63</v>
      </c>
      <c r="B603" s="9" t="s">
        <v>9</v>
      </c>
      <c r="C603" s="23" t="s">
        <v>352</v>
      </c>
      <c r="D603" s="32" t="s">
        <v>577</v>
      </c>
      <c r="E603" s="33">
        <f>3.78-1.122-0.318-1.85-(0.076)-0.028-0.042-(0.016)</f>
        <v>0.32799999999999929</v>
      </c>
    </row>
    <row r="604" spans="1:5" ht="51">
      <c r="A604" s="5" t="s">
        <v>63</v>
      </c>
      <c r="B604" s="9" t="s">
        <v>9</v>
      </c>
      <c r="C604" s="23" t="s">
        <v>352</v>
      </c>
      <c r="D604" s="32" t="s">
        <v>474</v>
      </c>
      <c r="E604" s="33">
        <f>3.78-1.22-(0.114)-1.83</f>
        <v>0.61599999999999966</v>
      </c>
    </row>
    <row r="605" spans="1:5" ht="51">
      <c r="A605" s="5" t="s">
        <v>63</v>
      </c>
      <c r="B605" s="9" t="s">
        <v>9</v>
      </c>
      <c r="C605" s="23" t="s">
        <v>341</v>
      </c>
      <c r="D605" s="32" t="s">
        <v>578</v>
      </c>
      <c r="E605" s="33">
        <f>0.27-0.136-0.096</f>
        <v>3.8000000000000006E-2</v>
      </c>
    </row>
    <row r="606" spans="1:5" ht="51">
      <c r="A606" s="5" t="s">
        <v>63</v>
      </c>
      <c r="B606" s="9" t="s">
        <v>9</v>
      </c>
      <c r="C606" s="23" t="s">
        <v>352</v>
      </c>
      <c r="D606" s="32" t="s">
        <v>579</v>
      </c>
      <c r="E606" s="33">
        <f>9.08-4.56-1.534+(0.04)-2.228-0.36</f>
        <v>0.4380000000000005</v>
      </c>
    </row>
    <row r="607" spans="1:5" ht="51">
      <c r="A607" s="5" t="s">
        <v>63</v>
      </c>
      <c r="B607" s="9" t="s">
        <v>9</v>
      </c>
      <c r="C607" s="23" t="s">
        <v>341</v>
      </c>
      <c r="D607" s="32" t="s">
        <v>580</v>
      </c>
      <c r="E607" s="33">
        <f>8.98-4.49</f>
        <v>4.49</v>
      </c>
    </row>
    <row r="608" spans="1:5" ht="51">
      <c r="A608" s="5" t="s">
        <v>63</v>
      </c>
      <c r="B608" s="9" t="s">
        <v>9</v>
      </c>
      <c r="C608" s="23" t="s">
        <v>341</v>
      </c>
      <c r="D608" s="32" t="s">
        <v>487</v>
      </c>
      <c r="E608" s="33">
        <f>4.49-2.12</f>
        <v>2.37</v>
      </c>
    </row>
    <row r="609" spans="1:5" ht="51">
      <c r="A609" s="5" t="s">
        <v>63</v>
      </c>
      <c r="B609" s="9" t="s">
        <v>9</v>
      </c>
      <c r="C609" s="23" t="s">
        <v>352</v>
      </c>
      <c r="D609" s="23" t="s">
        <v>581</v>
      </c>
      <c r="E609" s="18">
        <f>2.97-0.358-(0.128)</f>
        <v>2.484</v>
      </c>
    </row>
    <row r="610" spans="1:5" ht="51">
      <c r="A610" s="5" t="s">
        <v>63</v>
      </c>
      <c r="B610" s="9" t="s">
        <v>9</v>
      </c>
      <c r="C610" s="23" t="s">
        <v>352</v>
      </c>
      <c r="D610" s="23" t="s">
        <v>582</v>
      </c>
      <c r="E610" s="33">
        <f>3.11</f>
        <v>3.11</v>
      </c>
    </row>
    <row r="611" spans="1:5" ht="51">
      <c r="A611" s="5" t="s">
        <v>63</v>
      </c>
      <c r="B611" s="9" t="s">
        <v>9</v>
      </c>
      <c r="C611" s="23" t="s">
        <v>341</v>
      </c>
      <c r="D611" s="32" t="s">
        <v>583</v>
      </c>
      <c r="E611" s="31">
        <f>5.132-2.634+(0.11)-0.438-1.302-(0.003)</f>
        <v>0.86499999999999944</v>
      </c>
    </row>
    <row r="612" spans="1:5" ht="51">
      <c r="A612" s="5" t="s">
        <v>63</v>
      </c>
      <c r="B612" s="9" t="s">
        <v>9</v>
      </c>
      <c r="C612" s="23" t="s">
        <v>341</v>
      </c>
      <c r="D612" s="32" t="s">
        <v>262</v>
      </c>
      <c r="E612" s="31">
        <f>5.25-2.634+(0.018)-0.878</f>
        <v>1.7559999999999998</v>
      </c>
    </row>
    <row r="613" spans="1:5" ht="51">
      <c r="A613" s="5" t="s">
        <v>63</v>
      </c>
      <c r="B613" s="9" t="s">
        <v>9</v>
      </c>
      <c r="C613" s="23" t="s">
        <v>336</v>
      </c>
      <c r="D613" s="32" t="s">
        <v>584</v>
      </c>
      <c r="E613" s="31">
        <f>3.08-2.384-(0.026)-0.208</f>
        <v>0.46200000000000019</v>
      </c>
    </row>
    <row r="614" spans="1:5" ht="51">
      <c r="A614" s="5" t="s">
        <v>63</v>
      </c>
      <c r="B614" s="9" t="s">
        <v>9</v>
      </c>
      <c r="C614" s="23" t="s">
        <v>336</v>
      </c>
      <c r="D614" s="32" t="s">
        <v>585</v>
      </c>
      <c r="E614" s="31">
        <f>2.966-0.558</f>
        <v>2.4080000000000004</v>
      </c>
    </row>
    <row r="615" spans="1:5" ht="51">
      <c r="A615" s="5" t="s">
        <v>63</v>
      </c>
      <c r="B615" s="9" t="s">
        <v>9</v>
      </c>
      <c r="C615" s="23" t="s">
        <v>336</v>
      </c>
      <c r="D615" s="32" t="s">
        <v>586</v>
      </c>
      <c r="E615" s="31">
        <f>2.96-0.598-(0.02)-0.864-(0.002)</f>
        <v>1.4760000000000002</v>
      </c>
    </row>
    <row r="616" spans="1:5" ht="51">
      <c r="A616" s="5" t="s">
        <v>63</v>
      </c>
      <c r="B616" s="9" t="s">
        <v>9</v>
      </c>
      <c r="C616" s="23" t="s">
        <v>336</v>
      </c>
      <c r="D616" s="32" t="s">
        <v>587</v>
      </c>
      <c r="E616" s="31">
        <f>2.894-1.274-0.72-0.092-(0.02)</f>
        <v>0.78800000000000014</v>
      </c>
    </row>
    <row r="617" spans="1:5" ht="51">
      <c r="A617" s="5" t="s">
        <v>63</v>
      </c>
      <c r="B617" s="9" t="s">
        <v>9</v>
      </c>
      <c r="C617" s="23" t="s">
        <v>336</v>
      </c>
      <c r="D617" s="32" t="s">
        <v>588</v>
      </c>
      <c r="E617" s="31">
        <f>1.274</f>
        <v>1.274</v>
      </c>
    </row>
    <row r="618" spans="1:5" ht="51">
      <c r="A618" s="5" t="s">
        <v>63</v>
      </c>
      <c r="B618" s="9" t="s">
        <v>9</v>
      </c>
      <c r="C618" s="23" t="s">
        <v>341</v>
      </c>
      <c r="D618" s="32" t="s">
        <v>589</v>
      </c>
      <c r="E618" s="31">
        <f>5.865-0.162+(0.003)-1.48-1.476-1.374-0.986</f>
        <v>0.39000000000000079</v>
      </c>
    </row>
    <row r="619" spans="1:5" ht="51">
      <c r="A619" s="5" t="s">
        <v>63</v>
      </c>
      <c r="B619" s="10" t="s">
        <v>9</v>
      </c>
      <c r="C619" s="23" t="s">
        <v>341</v>
      </c>
      <c r="D619" s="32" t="s">
        <v>590</v>
      </c>
      <c r="E619" s="31">
        <f>11.73-5.865-1.572+(0.119)-0.99-0.507-(0.003)</f>
        <v>2.9119999999999995</v>
      </c>
    </row>
    <row r="620" spans="1:5" ht="51">
      <c r="A620" s="5" t="s">
        <v>63</v>
      </c>
      <c r="B620" s="9" t="s">
        <v>9</v>
      </c>
      <c r="C620" s="23" t="s">
        <v>591</v>
      </c>
      <c r="D620" s="32" t="s">
        <v>379</v>
      </c>
      <c r="E620" s="31">
        <f>18.09-6</f>
        <v>12.09</v>
      </c>
    </row>
    <row r="621" spans="1:5" ht="51">
      <c r="A621" s="5" t="s">
        <v>63</v>
      </c>
      <c r="B621" s="9" t="s">
        <v>9</v>
      </c>
      <c r="C621" s="23" t="s">
        <v>242</v>
      </c>
      <c r="D621" s="32" t="s">
        <v>592</v>
      </c>
      <c r="E621" s="31">
        <f>9.58-4.782-0.842+(0.006)</f>
        <v>3.9619999999999997</v>
      </c>
    </row>
    <row r="622" spans="1:5" ht="51">
      <c r="A622" s="5" t="s">
        <v>63</v>
      </c>
      <c r="B622" s="9" t="s">
        <v>9</v>
      </c>
      <c r="C622" s="23" t="s">
        <v>242</v>
      </c>
      <c r="D622" s="32" t="s">
        <v>593</v>
      </c>
      <c r="E622" s="31">
        <f>4.782-2.706-1.126-(0.026)-0.454-(0.006)</f>
        <v>0.46400000000000013</v>
      </c>
    </row>
    <row r="623" spans="1:5" ht="51">
      <c r="A623" s="5" t="s">
        <v>63</v>
      </c>
      <c r="B623" s="9" t="s">
        <v>9</v>
      </c>
      <c r="C623" s="23" t="s">
        <v>341</v>
      </c>
      <c r="D623" s="32" t="s">
        <v>594</v>
      </c>
      <c r="E623" s="31">
        <f>6.598-3.342+(0.11)-1.112-0.582-(0.004)</f>
        <v>1.6679999999999997</v>
      </c>
    </row>
    <row r="624" spans="1:5" ht="51">
      <c r="A624" s="5" t="s">
        <v>63</v>
      </c>
      <c r="B624" s="10" t="s">
        <v>9</v>
      </c>
      <c r="C624" s="23" t="s">
        <v>341</v>
      </c>
      <c r="D624" s="32" t="s">
        <v>595</v>
      </c>
      <c r="E624" s="33">
        <f>14.662-7.331-1.89+(0.204)-1.488-(0.071)-3.724-(0.008)</f>
        <v>0.35400000000000009</v>
      </c>
    </row>
    <row r="625" spans="1:5" ht="51">
      <c r="A625" s="5" t="s">
        <v>63</v>
      </c>
      <c r="B625" s="10" t="s">
        <v>9</v>
      </c>
      <c r="C625" s="23" t="s">
        <v>341</v>
      </c>
      <c r="D625" s="32" t="s">
        <v>596</v>
      </c>
      <c r="E625" s="33">
        <f>7.331-3.342+(0.109)-0.306-(0.004)-0.378-0.154-(0.036)</f>
        <v>3.2200000000000006</v>
      </c>
    </row>
    <row r="626" spans="1:5" ht="51">
      <c r="A626" s="5" t="s">
        <v>63</v>
      </c>
      <c r="B626" s="10" t="s">
        <v>9</v>
      </c>
      <c r="C626" s="23" t="s">
        <v>341</v>
      </c>
      <c r="D626" s="32" t="s">
        <v>597</v>
      </c>
      <c r="E626" s="33">
        <f>7.331-1.866+(0.119)-1.386-0.624-0.636</f>
        <v>2.9379999999999993</v>
      </c>
    </row>
    <row r="627" spans="1:5" ht="51">
      <c r="A627" s="5" t="s">
        <v>63</v>
      </c>
      <c r="B627" s="10" t="s">
        <v>9</v>
      </c>
      <c r="C627" s="23" t="s">
        <v>341</v>
      </c>
      <c r="D627" s="32" t="s">
        <v>391</v>
      </c>
      <c r="E627" s="33">
        <f>15.09</f>
        <v>15.09</v>
      </c>
    </row>
    <row r="628" spans="1:5" ht="51">
      <c r="A628" s="5" t="s">
        <v>63</v>
      </c>
      <c r="B628" s="9" t="s">
        <v>9</v>
      </c>
      <c r="C628" s="23" t="s">
        <v>341</v>
      </c>
      <c r="D628" s="23" t="s">
        <v>598</v>
      </c>
      <c r="E628" s="18">
        <f>8.146-4.144+(0.174)-0.71-(0.004)</f>
        <v>3.4620000000000011</v>
      </c>
    </row>
    <row r="629" spans="1:5" ht="51">
      <c r="A629" s="5" t="s">
        <v>63</v>
      </c>
      <c r="B629" s="9" t="s">
        <v>9</v>
      </c>
      <c r="C629" s="23" t="s">
        <v>341</v>
      </c>
      <c r="D629" s="23" t="s">
        <v>393</v>
      </c>
      <c r="E629" s="18">
        <f>16.5</f>
        <v>16.5</v>
      </c>
    </row>
    <row r="630" spans="1:5" ht="51">
      <c r="A630" s="5" t="s">
        <v>63</v>
      </c>
      <c r="B630" s="9" t="s">
        <v>9</v>
      </c>
      <c r="C630" s="23" t="s">
        <v>242</v>
      </c>
      <c r="D630" s="32" t="s">
        <v>599</v>
      </c>
      <c r="E630" s="33">
        <f>4.82-4.236+(0.04)</f>
        <v>0.62400000000000055</v>
      </c>
    </row>
    <row r="631" spans="1:5" ht="51">
      <c r="A631" s="5" t="s">
        <v>63</v>
      </c>
      <c r="B631" s="9" t="s">
        <v>9</v>
      </c>
      <c r="C631" s="23" t="s">
        <v>242</v>
      </c>
      <c r="D631" s="32" t="s">
        <v>600</v>
      </c>
      <c r="E631" s="33">
        <f>4.82-0.91</f>
        <v>3.91</v>
      </c>
    </row>
    <row r="632" spans="1:5" ht="51">
      <c r="A632" s="5" t="s">
        <v>63</v>
      </c>
      <c r="B632" s="9" t="s">
        <v>9</v>
      </c>
      <c r="C632" s="23" t="s">
        <v>358</v>
      </c>
      <c r="D632" s="32" t="s">
        <v>601</v>
      </c>
      <c r="E632" s="33">
        <f>8.886-3.756+(0.19)</f>
        <v>5.3199999999999994</v>
      </c>
    </row>
    <row r="633" spans="1:5" ht="51">
      <c r="A633" s="5" t="s">
        <v>63</v>
      </c>
      <c r="B633" s="9" t="s">
        <v>9</v>
      </c>
      <c r="C633" s="23" t="s">
        <v>358</v>
      </c>
      <c r="D633" s="32" t="s">
        <v>396</v>
      </c>
      <c r="E633" s="33">
        <f>18.23</f>
        <v>18.23</v>
      </c>
    </row>
    <row r="634" spans="1:5" ht="51">
      <c r="A634" s="5" t="s">
        <v>63</v>
      </c>
      <c r="B634" s="10" t="s">
        <v>9</v>
      </c>
      <c r="C634" s="23" t="s">
        <v>341</v>
      </c>
      <c r="D634" s="32" t="s">
        <v>602</v>
      </c>
      <c r="E634" s="35">
        <f>19.254-9.627-4.816+0.031-0.754-0.01-1.192-0.16-0.01-0.984-(0.006)</f>
        <v>1.7260000000000011</v>
      </c>
    </row>
    <row r="635" spans="1:5" ht="51">
      <c r="A635" s="5" t="s">
        <v>63</v>
      </c>
      <c r="B635" s="10" t="s">
        <v>9</v>
      </c>
      <c r="C635" s="23" t="s">
        <v>341</v>
      </c>
      <c r="D635" s="32" t="s">
        <v>603</v>
      </c>
      <c r="E635" s="35">
        <f>20.15-10.06</f>
        <v>10.089999999999998</v>
      </c>
    </row>
    <row r="636" spans="1:5" ht="51">
      <c r="A636" s="5" t="s">
        <v>63</v>
      </c>
      <c r="B636" s="9" t="s">
        <v>9</v>
      </c>
      <c r="C636" s="23" t="s">
        <v>341</v>
      </c>
      <c r="D636" s="32" t="s">
        <v>604</v>
      </c>
      <c r="E636" s="34">
        <f>0.75-0.216-0.21-(0.024)-0.216</f>
        <v>8.4000000000000047E-2</v>
      </c>
    </row>
    <row r="637" spans="1:5" ht="51">
      <c r="A637" s="5" t="s">
        <v>63</v>
      </c>
      <c r="B637" s="9" t="s">
        <v>9</v>
      </c>
      <c r="C637" s="23" t="s">
        <v>341</v>
      </c>
      <c r="D637" s="32" t="s">
        <v>605</v>
      </c>
      <c r="E637" s="33">
        <f>9.728-4.208-0.656-0.044-0.99-(0.006)</f>
        <v>3.8240000000000003</v>
      </c>
    </row>
    <row r="638" spans="1:5" ht="51">
      <c r="A638" s="5" t="s">
        <v>63</v>
      </c>
      <c r="B638" s="9" t="s">
        <v>9</v>
      </c>
      <c r="C638" s="23" t="s">
        <v>341</v>
      </c>
      <c r="D638" s="32" t="s">
        <v>606</v>
      </c>
      <c r="E638" s="33">
        <f>4.208</f>
        <v>4.2080000000000002</v>
      </c>
    </row>
    <row r="639" spans="1:5" ht="51">
      <c r="A639" s="5" t="s">
        <v>63</v>
      </c>
      <c r="B639" s="9" t="s">
        <v>9</v>
      </c>
      <c r="C639" s="23" t="s">
        <v>341</v>
      </c>
      <c r="D639" s="32" t="s">
        <v>607</v>
      </c>
      <c r="E639" s="33">
        <f>18.536-9.268-0.948-5.595-0.626-0.434-(0.053)</f>
        <v>1.6120000000000008</v>
      </c>
    </row>
    <row r="640" spans="1:5" ht="51">
      <c r="A640" s="5" t="s">
        <v>63</v>
      </c>
      <c r="B640" s="9" t="s">
        <v>9</v>
      </c>
      <c r="C640" s="23" t="s">
        <v>341</v>
      </c>
      <c r="D640" s="32" t="s">
        <v>608</v>
      </c>
      <c r="E640" s="33">
        <f>1.062-0.628</f>
        <v>0.43400000000000005</v>
      </c>
    </row>
    <row r="641" spans="1:5" ht="51">
      <c r="A641" s="5" t="s">
        <v>63</v>
      </c>
      <c r="B641" s="9" t="s">
        <v>9</v>
      </c>
      <c r="C641" s="23" t="s">
        <v>341</v>
      </c>
      <c r="D641" s="32" t="s">
        <v>609</v>
      </c>
      <c r="E641" s="33">
        <f>19.99</f>
        <v>19.989999999999998</v>
      </c>
    </row>
    <row r="642" spans="1:5" ht="51">
      <c r="A642" s="5" t="s">
        <v>63</v>
      </c>
      <c r="B642" s="9" t="s">
        <v>9</v>
      </c>
      <c r="C642" s="23" t="s">
        <v>341</v>
      </c>
      <c r="D642" s="23" t="s">
        <v>610</v>
      </c>
      <c r="E642" s="29">
        <f>6.9-3.578+(0.058)-0.428-0.898-0.7</f>
        <v>1.3540000000000003</v>
      </c>
    </row>
    <row r="643" spans="1:5" ht="51">
      <c r="A643" s="5" t="s">
        <v>63</v>
      </c>
      <c r="B643" s="9" t="s">
        <v>9</v>
      </c>
      <c r="C643" s="23" t="s">
        <v>358</v>
      </c>
      <c r="D643" s="32" t="s">
        <v>611</v>
      </c>
      <c r="E643" s="33">
        <f>9.886-2.73+(0.324)</f>
        <v>7.4799999999999986</v>
      </c>
    </row>
    <row r="644" spans="1:5" ht="51">
      <c r="A644" s="5" t="s">
        <v>63</v>
      </c>
      <c r="B644" s="9" t="s">
        <v>9</v>
      </c>
      <c r="C644" s="23" t="s">
        <v>358</v>
      </c>
      <c r="D644" s="32" t="s">
        <v>612</v>
      </c>
      <c r="E644" s="33">
        <f>18.57-9.26</f>
        <v>9.31</v>
      </c>
    </row>
    <row r="645" spans="1:5" ht="51">
      <c r="A645" s="5" t="s">
        <v>63</v>
      </c>
      <c r="B645" s="9" t="s">
        <v>21</v>
      </c>
      <c r="C645" s="23" t="s">
        <v>613</v>
      </c>
      <c r="D645" s="28" t="s">
        <v>614</v>
      </c>
      <c r="E645" s="19">
        <f>2.094-0.148</f>
        <v>1.946</v>
      </c>
    </row>
    <row r="646" spans="1:5" ht="51">
      <c r="A646" s="5" t="s">
        <v>63</v>
      </c>
      <c r="B646" s="9" t="s">
        <v>21</v>
      </c>
      <c r="C646" s="23" t="s">
        <v>613</v>
      </c>
      <c r="D646" s="28" t="s">
        <v>427</v>
      </c>
      <c r="E646" s="19">
        <f>0.955-0.16</f>
        <v>0.79499999999999993</v>
      </c>
    </row>
    <row r="647" spans="1:5" ht="51">
      <c r="A647" s="5" t="s">
        <v>63</v>
      </c>
      <c r="B647" s="9" t="s">
        <v>21</v>
      </c>
      <c r="C647" s="23" t="s">
        <v>613</v>
      </c>
      <c r="D647" s="28" t="s">
        <v>615</v>
      </c>
      <c r="E647" s="19">
        <f>2.24-0.16</f>
        <v>2.08</v>
      </c>
    </row>
    <row r="648" spans="1:5" ht="34">
      <c r="A648" s="1" t="s">
        <v>64</v>
      </c>
      <c r="B648" s="9" t="s">
        <v>8</v>
      </c>
      <c r="C648" s="26" t="s">
        <v>680</v>
      </c>
      <c r="D648" s="27" t="s">
        <v>240</v>
      </c>
      <c r="E648" s="19">
        <f>3.93-0.203-0.032-0.508-0.316-0.032-0.032-0.16-0.129-0.094-0.127-0.032-0.062-0.034-0.032-0.284-0.064-0.032-0.032-0.064-0.188-0.128-0.064-0.032-0.032-0.032-0.032-0.064-0.032-0.032-0.19-0.032-0.094-0.03-0.158-0.032-0.19-0.032-0.031-0.032-0.032-0.032-0.032-0.032-0.032-0.032</f>
        <v>1.2000000000000344E-2</v>
      </c>
    </row>
    <row r="649" spans="1:5" ht="34">
      <c r="A649" s="1" t="s">
        <v>64</v>
      </c>
      <c r="B649" s="9" t="s">
        <v>8</v>
      </c>
      <c r="C649" s="26" t="s">
        <v>679</v>
      </c>
      <c r="D649" s="27" t="s">
        <v>240</v>
      </c>
      <c r="E649" s="19">
        <f>3.432-0.416-0.032-0.032-0.064-0.067-0.034-0.232-0.329-0.032-0.194-0.032-0.032-0.034-0.064-0.034-0.032-0.067-0.392-0.066-0.067-0.034-0.136-0.1-0.033</f>
        <v>0.87699999999999934</v>
      </c>
    </row>
    <row r="650" spans="1:5" ht="34">
      <c r="A650" s="1" t="s">
        <v>64</v>
      </c>
      <c r="B650" s="9" t="s">
        <v>8</v>
      </c>
      <c r="C650" s="26" t="s">
        <v>679</v>
      </c>
      <c r="D650" s="27" t="s">
        <v>240</v>
      </c>
      <c r="E650" s="19">
        <f>0.63</f>
        <v>0.63</v>
      </c>
    </row>
    <row r="651" spans="1:5" ht="34">
      <c r="A651" s="1" t="s">
        <v>64</v>
      </c>
      <c r="B651" s="9" t="s">
        <v>8</v>
      </c>
      <c r="C651" s="26" t="s">
        <v>680</v>
      </c>
      <c r="D651" s="27" t="s">
        <v>166</v>
      </c>
      <c r="E651" s="19">
        <f>4.64-0.476-0.292-0.048-0.144-0.48-0.05-0.048-0.388-0.05-0.732-0.098-0.146-0.049-0.05-0.048-0.049-0.048-0.048-0.048-0.096-0.482-0.048-0.048-0.146-0.144-0.144-0.096-0.048-0.048-0.046</f>
        <v>1.9999999999999046E-3</v>
      </c>
    </row>
    <row r="652" spans="1:5" ht="34">
      <c r="A652" s="1" t="s">
        <v>64</v>
      </c>
      <c r="B652" s="9" t="s">
        <v>8</v>
      </c>
      <c r="C652" s="26" t="s">
        <v>679</v>
      </c>
      <c r="D652" s="27" t="s">
        <v>166</v>
      </c>
      <c r="E652" s="19">
        <f>4.06-0.089-0.402-0.315-0.455-0.046-0.14-0.61-0.33-0.566-0.094-0.048-0.53-0.048-0.048-0.066-0.19</f>
        <v>8.299999999999963E-2</v>
      </c>
    </row>
    <row r="653" spans="1:5" ht="34">
      <c r="A653" s="1" t="s">
        <v>64</v>
      </c>
      <c r="B653" s="9" t="s">
        <v>8</v>
      </c>
      <c r="C653" s="26" t="s">
        <v>679</v>
      </c>
      <c r="D653" s="27" t="s">
        <v>166</v>
      </c>
      <c r="E653" s="19">
        <f>2.61-1.852-0.476-0.141</f>
        <v>0.14099999999999982</v>
      </c>
    </row>
    <row r="654" spans="1:5" ht="34">
      <c r="A654" s="1" t="s">
        <v>64</v>
      </c>
      <c r="B654" s="9" t="s">
        <v>8</v>
      </c>
      <c r="C654" s="26" t="s">
        <v>679</v>
      </c>
      <c r="D654" s="27" t="s">
        <v>166</v>
      </c>
      <c r="E654" s="19">
        <f>1.58-0.096</f>
        <v>1.484</v>
      </c>
    </row>
    <row r="655" spans="1:5" ht="34">
      <c r="A655" s="1" t="s">
        <v>64</v>
      </c>
      <c r="B655" s="9" t="s">
        <v>8</v>
      </c>
      <c r="C655" s="26" t="s">
        <v>679</v>
      </c>
      <c r="D655" s="27" t="s">
        <v>239</v>
      </c>
      <c r="E655" s="19">
        <f>9.2-1.488-0.192-2.45-0.3-0.244-3.5</f>
        <v>1.0259999999999998</v>
      </c>
    </row>
    <row r="656" spans="1:5" ht="34">
      <c r="A656" s="1" t="s">
        <v>64</v>
      </c>
      <c r="B656" s="9" t="s">
        <v>8</v>
      </c>
      <c r="C656" s="26" t="s">
        <v>679</v>
      </c>
      <c r="D656" s="27" t="s">
        <v>239</v>
      </c>
      <c r="E656" s="19">
        <f>4.47</f>
        <v>4.47</v>
      </c>
    </row>
    <row r="657" spans="1:5" ht="34">
      <c r="A657" s="1" t="s">
        <v>64</v>
      </c>
      <c r="B657" s="9" t="s">
        <v>8</v>
      </c>
      <c r="C657" s="26" t="s">
        <v>679</v>
      </c>
      <c r="D657" s="27" t="s">
        <v>678</v>
      </c>
      <c r="E657" s="19">
        <f>0.06</f>
        <v>0.06</v>
      </c>
    </row>
    <row r="658" spans="1:5" ht="34">
      <c r="A658" s="1" t="s">
        <v>64</v>
      </c>
      <c r="B658" s="9" t="s">
        <v>8</v>
      </c>
      <c r="C658" s="26" t="s">
        <v>620</v>
      </c>
      <c r="D658" s="27" t="s">
        <v>677</v>
      </c>
      <c r="E658" s="19">
        <f>0.35-0.116-0.176-0.03-(0.001)</f>
        <v>2.6999999999999996E-2</v>
      </c>
    </row>
    <row r="659" spans="1:5" ht="34">
      <c r="A659" s="1" t="s">
        <v>64</v>
      </c>
      <c r="B659" s="9" t="s">
        <v>8</v>
      </c>
      <c r="C659" s="26" t="s">
        <v>620</v>
      </c>
      <c r="D659" s="27" t="s">
        <v>676</v>
      </c>
      <c r="E659" s="19">
        <f>0.344-0.117-0.169-(0.003)</f>
        <v>5.4999999999999966E-2</v>
      </c>
    </row>
    <row r="660" spans="1:5" ht="34">
      <c r="A660" s="1" t="s">
        <v>64</v>
      </c>
      <c r="B660" s="9" t="s">
        <v>8</v>
      </c>
      <c r="C660" s="26" t="s">
        <v>620</v>
      </c>
      <c r="D660" s="27" t="s">
        <v>675</v>
      </c>
      <c r="E660" s="19">
        <f>4.245-0.708-0.356-0.36</f>
        <v>2.8210000000000002</v>
      </c>
    </row>
    <row r="661" spans="1:5" ht="34">
      <c r="A661" s="1" t="s">
        <v>64</v>
      </c>
      <c r="B661" s="9" t="s">
        <v>8</v>
      </c>
      <c r="C661" s="26" t="s">
        <v>620</v>
      </c>
      <c r="D661" s="27" t="s">
        <v>674</v>
      </c>
      <c r="E661" s="19">
        <f>0.356-0.12-0.06</f>
        <v>0.17599999999999999</v>
      </c>
    </row>
    <row r="662" spans="1:5" ht="34">
      <c r="A662" s="1" t="s">
        <v>64</v>
      </c>
      <c r="B662" s="9" t="s">
        <v>8</v>
      </c>
      <c r="C662" s="26" t="s">
        <v>620</v>
      </c>
      <c r="D662" s="27" t="s">
        <v>673</v>
      </c>
      <c r="E662" s="19">
        <f>0.404-0.104-0.103-0.072</f>
        <v>0.12500000000000006</v>
      </c>
    </row>
    <row r="663" spans="1:5" ht="34">
      <c r="A663" s="1" t="s">
        <v>64</v>
      </c>
      <c r="B663" s="9" t="s">
        <v>8</v>
      </c>
      <c r="C663" s="26" t="s">
        <v>620</v>
      </c>
      <c r="D663" s="27" t="s">
        <v>672</v>
      </c>
      <c r="E663" s="19">
        <f>0.83-0.422</f>
        <v>0.40799999999999997</v>
      </c>
    </row>
    <row r="664" spans="1:5" ht="34">
      <c r="A664" s="1" t="s">
        <v>64</v>
      </c>
      <c r="B664" s="9" t="s">
        <v>8</v>
      </c>
      <c r="C664" s="26" t="s">
        <v>620</v>
      </c>
      <c r="D664" s="27" t="s">
        <v>196</v>
      </c>
      <c r="E664" s="19">
        <f>8.54-0.43-4</f>
        <v>4.1099999999999994</v>
      </c>
    </row>
    <row r="665" spans="1:5" ht="34">
      <c r="A665" s="1" t="s">
        <v>64</v>
      </c>
      <c r="B665" s="9" t="s">
        <v>8</v>
      </c>
      <c r="C665" s="26" t="s">
        <v>620</v>
      </c>
      <c r="D665" s="27" t="s">
        <v>671</v>
      </c>
      <c r="E665" s="19">
        <f>4.37-1.079-0.524-0.552-0.55-0.554-0.554-0.418-(0.005)-0.047-0.047</f>
        <v>4.0000000000000174E-2</v>
      </c>
    </row>
    <row r="666" spans="1:5" ht="34">
      <c r="A666" s="1" t="s">
        <v>64</v>
      </c>
      <c r="B666" s="9" t="s">
        <v>8</v>
      </c>
      <c r="C666" s="26" t="s">
        <v>620</v>
      </c>
      <c r="D666" s="27" t="s">
        <v>667</v>
      </c>
      <c r="E666" s="19">
        <f>0.554-0.278-0.186+(0.002)</f>
        <v>9.2000000000000026E-2</v>
      </c>
    </row>
    <row r="667" spans="1:5" ht="34">
      <c r="A667" s="1" t="s">
        <v>64</v>
      </c>
      <c r="B667" s="9" t="s">
        <v>8</v>
      </c>
      <c r="C667" s="26" t="s">
        <v>620</v>
      </c>
      <c r="D667" s="27" t="s">
        <v>670</v>
      </c>
      <c r="E667" s="19">
        <f>0.552-0.186-0.276-(0.002)</f>
        <v>8.8000000000000023E-2</v>
      </c>
    </row>
    <row r="668" spans="1:5" ht="34">
      <c r="A668" s="1" t="s">
        <v>64</v>
      </c>
      <c r="B668" s="9" t="s">
        <v>8</v>
      </c>
      <c r="C668" s="26" t="s">
        <v>620</v>
      </c>
      <c r="D668" s="27" t="s">
        <v>669</v>
      </c>
      <c r="E668" s="19">
        <f>0.554-0.278-0.186</f>
        <v>9.0000000000000024E-2</v>
      </c>
    </row>
    <row r="669" spans="1:5" ht="34">
      <c r="A669" s="1" t="s">
        <v>64</v>
      </c>
      <c r="B669" s="9" t="s">
        <v>8</v>
      </c>
      <c r="C669" s="26" t="s">
        <v>620</v>
      </c>
      <c r="D669" s="27" t="s">
        <v>668</v>
      </c>
      <c r="E669" s="19">
        <f>1.1-0.561-0.121+(0.008)-0.31</f>
        <v>0.11600000000000005</v>
      </c>
    </row>
    <row r="670" spans="1:5" ht="34">
      <c r="A670" s="1" t="s">
        <v>64</v>
      </c>
      <c r="B670" s="9" t="s">
        <v>8</v>
      </c>
      <c r="C670" s="26" t="s">
        <v>620</v>
      </c>
      <c r="D670" s="27" t="s">
        <v>667</v>
      </c>
      <c r="E670" s="19">
        <f>0.557-0.279-0.184-(0.004)</f>
        <v>9.0000000000000024E-2</v>
      </c>
    </row>
    <row r="671" spans="1:5" ht="34">
      <c r="A671" s="1" t="s">
        <v>64</v>
      </c>
      <c r="B671" s="9" t="s">
        <v>8</v>
      </c>
      <c r="C671" s="26" t="s">
        <v>620</v>
      </c>
      <c r="D671" s="27" t="s">
        <v>666</v>
      </c>
      <c r="E671" s="19">
        <f>0.45-0.372-(0.001)</f>
        <v>7.7000000000000013E-2</v>
      </c>
    </row>
    <row r="672" spans="1:5" ht="34">
      <c r="A672" s="1" t="s">
        <v>64</v>
      </c>
      <c r="B672" s="9" t="s">
        <v>8</v>
      </c>
      <c r="C672" s="26" t="s">
        <v>620</v>
      </c>
      <c r="D672" s="27" t="s">
        <v>665</v>
      </c>
      <c r="E672" s="19">
        <f>6.74-5.075-1.12-0.095+(0.02)-0.125-0.125</f>
        <v>0.21999999999999997</v>
      </c>
    </row>
    <row r="673" spans="1:5" ht="34">
      <c r="A673" s="1" t="s">
        <v>64</v>
      </c>
      <c r="B673" s="9" t="s">
        <v>8</v>
      </c>
      <c r="C673" s="26" t="s">
        <v>620</v>
      </c>
      <c r="D673" s="27" t="s">
        <v>190</v>
      </c>
      <c r="E673" s="19">
        <f>4.38-0.55-0.57</f>
        <v>3.2600000000000002</v>
      </c>
    </row>
    <row r="674" spans="1:5" ht="34">
      <c r="A674" s="1" t="s">
        <v>64</v>
      </c>
      <c r="B674" s="9" t="s">
        <v>8</v>
      </c>
      <c r="C674" s="26" t="s">
        <v>620</v>
      </c>
      <c r="D674" s="27" t="s">
        <v>664</v>
      </c>
      <c r="E674" s="19">
        <f>0.55-0.25</f>
        <v>0.30000000000000004</v>
      </c>
    </row>
    <row r="675" spans="1:5" ht="34">
      <c r="A675" s="1" t="s">
        <v>64</v>
      </c>
      <c r="B675" s="9" t="s">
        <v>8</v>
      </c>
      <c r="C675" s="32" t="s">
        <v>620</v>
      </c>
      <c r="D675" s="27" t="s">
        <v>663</v>
      </c>
      <c r="E675" s="19">
        <f>4.16-1.374-2.098-0.228+(0.008)-0.175-0.03-0.114</f>
        <v>0.14900000000000024</v>
      </c>
    </row>
    <row r="676" spans="1:5" ht="34">
      <c r="A676" s="1" t="s">
        <v>64</v>
      </c>
      <c r="B676" s="9" t="s">
        <v>8</v>
      </c>
      <c r="C676" s="32" t="s">
        <v>620</v>
      </c>
      <c r="D676" s="27" t="s">
        <v>188</v>
      </c>
      <c r="E676" s="19">
        <f>7.63-3.5</f>
        <v>4.13</v>
      </c>
    </row>
    <row r="677" spans="1:5" ht="34">
      <c r="A677" s="1" t="s">
        <v>64</v>
      </c>
      <c r="B677" s="9" t="s">
        <v>8</v>
      </c>
      <c r="C677" s="32" t="s">
        <v>620</v>
      </c>
      <c r="D677" s="27" t="s">
        <v>662</v>
      </c>
      <c r="E677" s="19">
        <f>0.71-0.225+(0.011)-0.23</f>
        <v>0.26600000000000001</v>
      </c>
    </row>
    <row r="678" spans="1:5" ht="34">
      <c r="A678" s="1" t="s">
        <v>64</v>
      </c>
      <c r="B678" s="9" t="s">
        <v>8</v>
      </c>
      <c r="C678" s="32" t="s">
        <v>620</v>
      </c>
      <c r="D678" s="27" t="s">
        <v>661</v>
      </c>
      <c r="E678" s="19">
        <f>0.84-0.21-0.168-(0.003)-0.21-(0.003)-0.21</f>
        <v>3.5999999999999976E-2</v>
      </c>
    </row>
    <row r="679" spans="1:5" ht="34">
      <c r="A679" s="1" t="s">
        <v>64</v>
      </c>
      <c r="B679" s="9" t="s">
        <v>8</v>
      </c>
      <c r="C679" s="32" t="s">
        <v>620</v>
      </c>
      <c r="D679" s="27" t="s">
        <v>185</v>
      </c>
      <c r="E679" s="19">
        <f>8.29-1.65-0.838-0.84</f>
        <v>4.9619999999999989</v>
      </c>
    </row>
    <row r="680" spans="1:5" ht="34">
      <c r="A680" s="1" t="s">
        <v>64</v>
      </c>
      <c r="B680" s="9" t="s">
        <v>8</v>
      </c>
      <c r="C680" s="32" t="s">
        <v>620</v>
      </c>
      <c r="D680" s="27" t="s">
        <v>660</v>
      </c>
      <c r="E680" s="19">
        <f>0.838-0.212-0.14-(0.001)-0.126-(0.001)-0.06-(0.001)</f>
        <v>0.29699999999999999</v>
      </c>
    </row>
    <row r="681" spans="1:5" ht="34">
      <c r="A681" s="1" t="s">
        <v>64</v>
      </c>
      <c r="B681" s="9" t="s">
        <v>8</v>
      </c>
      <c r="C681" s="32" t="s">
        <v>620</v>
      </c>
      <c r="D681" s="27" t="s">
        <v>432</v>
      </c>
      <c r="E681" s="19">
        <f>0.84-0.57</f>
        <v>0.27</v>
      </c>
    </row>
    <row r="682" spans="1:5" ht="34">
      <c r="A682" s="1" t="s">
        <v>64</v>
      </c>
      <c r="B682" s="9" t="s">
        <v>8</v>
      </c>
      <c r="C682" s="32" t="s">
        <v>620</v>
      </c>
      <c r="D682" s="32" t="s">
        <v>218</v>
      </c>
      <c r="E682" s="19">
        <f>2.91-0.975-0.97</f>
        <v>0.96500000000000008</v>
      </c>
    </row>
    <row r="683" spans="1:5" ht="34">
      <c r="A683" s="1" t="s">
        <v>64</v>
      </c>
      <c r="B683" s="9" t="s">
        <v>8</v>
      </c>
      <c r="C683" s="32" t="s">
        <v>620</v>
      </c>
      <c r="D683" s="32" t="s">
        <v>218</v>
      </c>
      <c r="E683" s="19">
        <f>2.915</f>
        <v>2.915</v>
      </c>
    </row>
    <row r="684" spans="1:5" ht="34">
      <c r="A684" s="1" t="s">
        <v>64</v>
      </c>
      <c r="B684" s="9" t="s">
        <v>8</v>
      </c>
      <c r="C684" s="32" t="s">
        <v>620</v>
      </c>
      <c r="D684" s="32" t="s">
        <v>659</v>
      </c>
      <c r="E684" s="19">
        <f>0.955</f>
        <v>0.95499999999999996</v>
      </c>
    </row>
    <row r="685" spans="1:5" ht="34">
      <c r="A685" s="1" t="s">
        <v>64</v>
      </c>
      <c r="B685" s="9" t="s">
        <v>8</v>
      </c>
      <c r="C685" s="32" t="s">
        <v>620</v>
      </c>
      <c r="D685" s="28" t="s">
        <v>658</v>
      </c>
      <c r="E685" s="31">
        <f>1.134-0.38-0.192-0.082-0.056-(0.004)-0.19-0.068-0.048-(0.002)</f>
        <v>0.11199999999999981</v>
      </c>
    </row>
    <row r="686" spans="1:5" ht="34">
      <c r="A686" s="1" t="s">
        <v>64</v>
      </c>
      <c r="B686" s="9" t="s">
        <v>8</v>
      </c>
      <c r="C686" s="32" t="s">
        <v>620</v>
      </c>
      <c r="D686" s="28" t="s">
        <v>657</v>
      </c>
      <c r="E686" s="31">
        <f>1.11-0.556-0.079-(0.001)-0.03-(0.001)-0.048-(0.002)-0.149-(0.001)-0.159-(0.002)</f>
        <v>8.2000000000000073E-2</v>
      </c>
    </row>
    <row r="687" spans="1:5" ht="34">
      <c r="A687" s="1" t="s">
        <v>64</v>
      </c>
      <c r="B687" s="9" t="s">
        <v>8</v>
      </c>
      <c r="C687" s="32" t="s">
        <v>620</v>
      </c>
      <c r="D687" s="28" t="s">
        <v>184</v>
      </c>
      <c r="E687" s="31">
        <f>4.445</f>
        <v>4.4450000000000003</v>
      </c>
    </row>
    <row r="688" spans="1:5" ht="34">
      <c r="A688" s="1" t="s">
        <v>64</v>
      </c>
      <c r="B688" s="9" t="s">
        <v>8</v>
      </c>
      <c r="C688" s="32" t="s">
        <v>620</v>
      </c>
      <c r="D688" s="28" t="s">
        <v>213</v>
      </c>
      <c r="E688" s="31">
        <f>7.465-3.73-1.245</f>
        <v>2.4899999999999998</v>
      </c>
    </row>
    <row r="689" spans="1:5" ht="34">
      <c r="A689" s="1" t="s">
        <v>64</v>
      </c>
      <c r="B689" s="9" t="s">
        <v>8</v>
      </c>
      <c r="C689" s="32" t="s">
        <v>620</v>
      </c>
      <c r="D689" s="28" t="s">
        <v>656</v>
      </c>
      <c r="E689" s="31">
        <f>1.245-0.053</f>
        <v>1.1920000000000002</v>
      </c>
    </row>
    <row r="690" spans="1:5" ht="34">
      <c r="A690" s="1" t="s">
        <v>64</v>
      </c>
      <c r="B690" s="9" t="s">
        <v>8</v>
      </c>
      <c r="C690" s="32" t="s">
        <v>620</v>
      </c>
      <c r="D690" s="28" t="s">
        <v>655</v>
      </c>
      <c r="E690" s="31">
        <f>8.47-1.408-1.406-1.406-2.832-0.236-(0.008)-0.101-(0.001)-0.308+(0.002)</f>
        <v>0.76600000000000201</v>
      </c>
    </row>
    <row r="691" spans="1:5" ht="34">
      <c r="A691" s="1" t="s">
        <v>64</v>
      </c>
      <c r="B691" s="9" t="s">
        <v>8</v>
      </c>
      <c r="C691" s="32" t="s">
        <v>620</v>
      </c>
      <c r="D691" s="28" t="s">
        <v>180</v>
      </c>
      <c r="E691" s="31">
        <f>8.47-1.406</f>
        <v>7.0640000000000009</v>
      </c>
    </row>
    <row r="692" spans="1:5" ht="34">
      <c r="A692" s="1" t="s">
        <v>64</v>
      </c>
      <c r="B692" s="9" t="s">
        <v>8</v>
      </c>
      <c r="C692" s="32" t="s">
        <v>620</v>
      </c>
      <c r="D692" s="28" t="s">
        <v>654</v>
      </c>
      <c r="E692" s="31">
        <f>2.73-1.365</f>
        <v>1.365</v>
      </c>
    </row>
    <row r="693" spans="1:5" ht="34">
      <c r="A693" s="1" t="s">
        <v>64</v>
      </c>
      <c r="B693" s="9" t="s">
        <v>8</v>
      </c>
      <c r="C693" s="32" t="s">
        <v>620</v>
      </c>
      <c r="D693" s="28" t="s">
        <v>653</v>
      </c>
      <c r="E693" s="31">
        <f>1.365-0.098-(0.015)-0.351-(0.001)-0.059-(0.002)-0.06-(0.001)-0.118-0.06-(0.003)-0.034-(0.001)-0.357</f>
        <v>0.20499999999999985</v>
      </c>
    </row>
    <row r="694" spans="1:5" ht="34">
      <c r="A694" s="1" t="s">
        <v>64</v>
      </c>
      <c r="B694" s="9" t="s">
        <v>8</v>
      </c>
      <c r="C694" s="32" t="s">
        <v>620</v>
      </c>
      <c r="D694" s="28" t="s">
        <v>449</v>
      </c>
      <c r="E694" s="31">
        <f>4.85-1.628-1.63</f>
        <v>1.5919999999999996</v>
      </c>
    </row>
    <row r="695" spans="1:5" ht="34">
      <c r="A695" s="1" t="s">
        <v>64</v>
      </c>
      <c r="B695" s="9" t="s">
        <v>8</v>
      </c>
      <c r="C695" s="32" t="s">
        <v>620</v>
      </c>
      <c r="D695" s="28" t="s">
        <v>652</v>
      </c>
      <c r="E695" s="31">
        <f>1.628-0.678-0.22-(0.002)-0.034</f>
        <v>0.69399999999999984</v>
      </c>
    </row>
    <row r="696" spans="1:5" ht="34">
      <c r="A696" s="1" t="s">
        <v>64</v>
      </c>
      <c r="B696" s="9" t="s">
        <v>8</v>
      </c>
      <c r="C696" s="32" t="s">
        <v>620</v>
      </c>
      <c r="D696" s="32" t="s">
        <v>651</v>
      </c>
      <c r="E696" s="31">
        <f>1.676-0.3-0.488-(0.004)</f>
        <v>0.8839999999999999</v>
      </c>
    </row>
    <row r="697" spans="1:5" ht="34">
      <c r="A697" s="1" t="s">
        <v>64</v>
      </c>
      <c r="B697" s="9" t="s">
        <v>8</v>
      </c>
      <c r="C697" s="32" t="s">
        <v>620</v>
      </c>
      <c r="D697" s="32" t="s">
        <v>650</v>
      </c>
      <c r="E697" s="19">
        <f>5-1.65</f>
        <v>3.35</v>
      </c>
    </row>
    <row r="698" spans="1:5" ht="34">
      <c r="A698" s="1" t="s">
        <v>64</v>
      </c>
      <c r="B698" s="9" t="s">
        <v>8</v>
      </c>
      <c r="C698" s="32" t="s">
        <v>620</v>
      </c>
      <c r="D698" s="27" t="s">
        <v>649</v>
      </c>
      <c r="E698" s="19">
        <f>16.87-1.68-1.694-1.7-1.704-1.723-1.696-1.664-1.711-1.686-0.538+(0.106)-0.072</f>
        <v>1.1080000000000019</v>
      </c>
    </row>
    <row r="699" spans="1:5" ht="34">
      <c r="A699" s="1" t="s">
        <v>64</v>
      </c>
      <c r="B699" s="9" t="s">
        <v>8</v>
      </c>
      <c r="C699" s="32" t="s">
        <v>620</v>
      </c>
      <c r="D699" s="27" t="s">
        <v>648</v>
      </c>
      <c r="E699" s="19">
        <f>1.723-0.473-0.478-(0.003)-0.185-(0.002)-0.357</f>
        <v>0.22500000000000009</v>
      </c>
    </row>
    <row r="700" spans="1:5" ht="34">
      <c r="A700" s="1" t="s">
        <v>64</v>
      </c>
      <c r="B700" s="9" t="s">
        <v>8</v>
      </c>
      <c r="C700" s="32" t="s">
        <v>620</v>
      </c>
      <c r="D700" s="27" t="s">
        <v>647</v>
      </c>
      <c r="E700" s="19">
        <f>1.711-0.649-0.471-0.155-(0.001)-0.186-(0.001)</f>
        <v>0.24800000000000005</v>
      </c>
    </row>
    <row r="701" spans="1:5" ht="34">
      <c r="A701" s="1" t="s">
        <v>64</v>
      </c>
      <c r="B701" s="9" t="s">
        <v>8</v>
      </c>
      <c r="C701" s="32" t="s">
        <v>620</v>
      </c>
      <c r="D701" s="27" t="s">
        <v>207</v>
      </c>
      <c r="E701" s="19">
        <f>10.085-1.702</f>
        <v>8.3830000000000009</v>
      </c>
    </row>
    <row r="702" spans="1:5" ht="34">
      <c r="A702" s="1" t="s">
        <v>64</v>
      </c>
      <c r="B702" s="9" t="s">
        <v>8</v>
      </c>
      <c r="C702" s="32" t="s">
        <v>620</v>
      </c>
      <c r="D702" s="27" t="s">
        <v>646</v>
      </c>
      <c r="E702" s="19">
        <f>1.565-0.938-(0.015)</f>
        <v>0.61199999999999999</v>
      </c>
    </row>
    <row r="703" spans="1:5" ht="34">
      <c r="A703" s="1" t="s">
        <v>64</v>
      </c>
      <c r="B703" s="9" t="s">
        <v>8</v>
      </c>
      <c r="C703" s="32" t="s">
        <v>620</v>
      </c>
      <c r="D703" s="32" t="s">
        <v>645</v>
      </c>
      <c r="E703" s="31">
        <f>4.9-1.638</f>
        <v>3.2620000000000005</v>
      </c>
    </row>
    <row r="704" spans="1:5" ht="34">
      <c r="A704" s="1" t="s">
        <v>64</v>
      </c>
      <c r="B704" s="9" t="s">
        <v>8</v>
      </c>
      <c r="C704" s="32" t="s">
        <v>620</v>
      </c>
      <c r="D704" s="27" t="s">
        <v>644</v>
      </c>
      <c r="E704" s="18">
        <f>1.736-0.43-0.591-0.192-(0.003)-0.193-(0.003)</f>
        <v>0.32400000000000012</v>
      </c>
    </row>
    <row r="705" spans="1:5" ht="34">
      <c r="A705" s="1" t="s">
        <v>64</v>
      </c>
      <c r="B705" s="9" t="s">
        <v>8</v>
      </c>
      <c r="C705" s="32" t="s">
        <v>620</v>
      </c>
      <c r="D705" s="27" t="s">
        <v>643</v>
      </c>
      <c r="E705" s="18">
        <f>1.64-0.992-0.5</f>
        <v>0.14799999999999991</v>
      </c>
    </row>
    <row r="706" spans="1:5" ht="34">
      <c r="A706" s="1" t="s">
        <v>64</v>
      </c>
      <c r="B706" s="9" t="s">
        <v>8</v>
      </c>
      <c r="C706" s="32" t="s">
        <v>620</v>
      </c>
      <c r="D706" s="27" t="s">
        <v>642</v>
      </c>
      <c r="E706" s="18">
        <f>1.134-0.848-(0.004)</f>
        <v>0.28199999999999992</v>
      </c>
    </row>
    <row r="707" spans="1:5" ht="34">
      <c r="A707" s="1" t="s">
        <v>64</v>
      </c>
      <c r="B707" s="9" t="s">
        <v>8</v>
      </c>
      <c r="C707" s="32" t="s">
        <v>620</v>
      </c>
      <c r="D707" s="27" t="s">
        <v>641</v>
      </c>
      <c r="E707" s="18">
        <f>10.07-1.692-1.684-1.7</f>
        <v>4.9939999999999998</v>
      </c>
    </row>
    <row r="708" spans="1:5" ht="34">
      <c r="A708" s="1" t="s">
        <v>64</v>
      </c>
      <c r="B708" s="9" t="s">
        <v>8</v>
      </c>
      <c r="C708" s="32" t="s">
        <v>620</v>
      </c>
      <c r="D708" s="27" t="s">
        <v>640</v>
      </c>
      <c r="E708" s="18">
        <f>1.692-0.888-0.494-(0.004)</f>
        <v>0.30599999999999994</v>
      </c>
    </row>
    <row r="709" spans="1:5" ht="34">
      <c r="A709" s="1" t="s">
        <v>64</v>
      </c>
      <c r="B709" s="9" t="s">
        <v>8</v>
      </c>
      <c r="C709" s="32" t="s">
        <v>620</v>
      </c>
      <c r="D709" s="27" t="s">
        <v>639</v>
      </c>
      <c r="E709" s="18">
        <f>1.684-0.222-0.845</f>
        <v>0.61699999999999999</v>
      </c>
    </row>
    <row r="710" spans="1:5" ht="34">
      <c r="A710" s="1" t="s">
        <v>64</v>
      </c>
      <c r="B710" s="9" t="s">
        <v>8</v>
      </c>
      <c r="C710" s="32" t="s">
        <v>620</v>
      </c>
      <c r="D710" s="27" t="s">
        <v>638</v>
      </c>
      <c r="E710" s="18">
        <f>1.7-0.82</f>
        <v>0.88</v>
      </c>
    </row>
    <row r="711" spans="1:5" ht="34">
      <c r="A711" s="1" t="s">
        <v>64</v>
      </c>
      <c r="B711" s="9" t="s">
        <v>8</v>
      </c>
      <c r="C711" s="26" t="s">
        <v>620</v>
      </c>
      <c r="D711" s="32" t="s">
        <v>637</v>
      </c>
      <c r="E711" s="31">
        <f>1.91-0.32-0.47-0.282-(0.054)-0.478-(0.002)-0.184-(0.014)</f>
        <v>0.10599999999999983</v>
      </c>
    </row>
    <row r="712" spans="1:5" ht="34">
      <c r="A712" s="1" t="s">
        <v>64</v>
      </c>
      <c r="B712" s="9" t="s">
        <v>8</v>
      </c>
      <c r="C712" s="23" t="s">
        <v>620</v>
      </c>
      <c r="D712" s="32" t="s">
        <v>636</v>
      </c>
      <c r="E712" s="31">
        <f>0.126</f>
        <v>0.126</v>
      </c>
    </row>
    <row r="713" spans="1:5" ht="34">
      <c r="A713" s="1" t="s">
        <v>64</v>
      </c>
      <c r="B713" s="9" t="s">
        <v>8</v>
      </c>
      <c r="C713" s="26" t="s">
        <v>620</v>
      </c>
      <c r="D713" s="32" t="s">
        <v>633</v>
      </c>
      <c r="E713" s="31">
        <f>11.12-1.85-1.864-1.83</f>
        <v>5.5759999999999996</v>
      </c>
    </row>
    <row r="714" spans="1:5" ht="34">
      <c r="A714" s="1" t="s">
        <v>64</v>
      </c>
      <c r="B714" s="9" t="s">
        <v>8</v>
      </c>
      <c r="C714" s="26" t="s">
        <v>620</v>
      </c>
      <c r="D714" s="32" t="s">
        <v>635</v>
      </c>
      <c r="E714" s="31">
        <f>1.83-0.722-0.342</f>
        <v>0.76600000000000001</v>
      </c>
    </row>
    <row r="715" spans="1:5" ht="34">
      <c r="A715" s="1" t="s">
        <v>64</v>
      </c>
      <c r="B715" s="10" t="s">
        <v>8</v>
      </c>
      <c r="C715" s="26" t="s">
        <v>620</v>
      </c>
      <c r="D715" s="32" t="s">
        <v>634</v>
      </c>
      <c r="E715" s="31">
        <f>1.89-0.942-(0.05)-0.347-(0.005)-0.22</f>
        <v>0.32599999999999996</v>
      </c>
    </row>
    <row r="716" spans="1:5" ht="34">
      <c r="A716" s="1" t="s">
        <v>64</v>
      </c>
      <c r="B716" s="9" t="s">
        <v>8</v>
      </c>
      <c r="C716" s="26" t="s">
        <v>620</v>
      </c>
      <c r="D716" s="32" t="s">
        <v>633</v>
      </c>
      <c r="E716" s="31">
        <f>1.82</f>
        <v>1.82</v>
      </c>
    </row>
    <row r="717" spans="1:5" ht="34">
      <c r="A717" s="1" t="s">
        <v>64</v>
      </c>
      <c r="B717" s="9" t="s">
        <v>8</v>
      </c>
      <c r="C717" s="32" t="s">
        <v>620</v>
      </c>
      <c r="D717" s="32" t="s">
        <v>632</v>
      </c>
      <c r="E717" s="31">
        <f>11.34-3.764-1.89-1.849-(0.037)-1.848-(0.052)-1.025-(0.012)</f>
        <v>0.86300000000000066</v>
      </c>
    </row>
    <row r="718" spans="1:5" ht="34">
      <c r="A718" s="1" t="s">
        <v>64</v>
      </c>
      <c r="B718" s="9" t="s">
        <v>8</v>
      </c>
      <c r="C718" s="32" t="s">
        <v>620</v>
      </c>
      <c r="D718" s="32" t="s">
        <v>631</v>
      </c>
      <c r="E718" s="31">
        <f>1.849-0.829-0.216-(0.004)-0.365-(0.002)</f>
        <v>0.43300000000000005</v>
      </c>
    </row>
    <row r="719" spans="1:5" ht="34">
      <c r="A719" s="1" t="s">
        <v>64</v>
      </c>
      <c r="B719" s="9" t="s">
        <v>8</v>
      </c>
      <c r="C719" s="32" t="s">
        <v>620</v>
      </c>
      <c r="D719" s="32" t="s">
        <v>630</v>
      </c>
      <c r="E719" s="31">
        <f>5.545-1.9</f>
        <v>3.645</v>
      </c>
    </row>
    <row r="720" spans="1:5" ht="34">
      <c r="A720" s="1" t="s">
        <v>64</v>
      </c>
      <c r="B720" s="9" t="s">
        <v>8</v>
      </c>
      <c r="C720" s="32" t="s">
        <v>620</v>
      </c>
      <c r="D720" s="32" t="s">
        <v>629</v>
      </c>
      <c r="E720" s="31">
        <f>0.044</f>
        <v>4.3999999999999997E-2</v>
      </c>
    </row>
    <row r="721" spans="1:5" ht="34">
      <c r="A721" s="1" t="s">
        <v>64</v>
      </c>
      <c r="B721" s="9" t="s">
        <v>8</v>
      </c>
      <c r="C721" s="32" t="s">
        <v>620</v>
      </c>
      <c r="D721" s="32" t="s">
        <v>628</v>
      </c>
      <c r="E721" s="31">
        <f>11.04-1.808-1.835-1.847-1.824-1.845-0.866-(0.045)-0.676-(0.002)</f>
        <v>0.29199999999999915</v>
      </c>
    </row>
    <row r="722" spans="1:5" ht="34">
      <c r="A722" s="1" t="s">
        <v>64</v>
      </c>
      <c r="B722" s="9" t="s">
        <v>8</v>
      </c>
      <c r="C722" s="32" t="s">
        <v>620</v>
      </c>
      <c r="D722" s="32" t="s">
        <v>627</v>
      </c>
      <c r="E722" s="31">
        <f>11.28-1.856-1.858-1.866-3.8</f>
        <v>1.8999999999999995</v>
      </c>
    </row>
    <row r="723" spans="1:5" ht="34">
      <c r="A723" s="1" t="s">
        <v>64</v>
      </c>
      <c r="B723" s="9" t="s">
        <v>8</v>
      </c>
      <c r="C723" s="32" t="s">
        <v>620</v>
      </c>
      <c r="D723" s="32" t="s">
        <v>626</v>
      </c>
      <c r="E723" s="31">
        <f>1.858-0.158-0.7</f>
        <v>1.0000000000000002</v>
      </c>
    </row>
    <row r="724" spans="1:5" ht="34">
      <c r="A724" s="1" t="s">
        <v>64</v>
      </c>
      <c r="B724" s="9" t="s">
        <v>8</v>
      </c>
      <c r="C724" s="32" t="s">
        <v>620</v>
      </c>
      <c r="D724" s="32" t="s">
        <v>625</v>
      </c>
      <c r="E724" s="31">
        <f>1.844-0.306-0.508-(0.006)-0.508-(0.002)-0.278-(0.008)</f>
        <v>0.22799999999999998</v>
      </c>
    </row>
    <row r="725" spans="1:5" ht="34">
      <c r="A725" s="1" t="s">
        <v>64</v>
      </c>
      <c r="B725" s="9" t="s">
        <v>8</v>
      </c>
      <c r="C725" s="32" t="s">
        <v>620</v>
      </c>
      <c r="D725" s="32" t="s">
        <v>624</v>
      </c>
      <c r="E725" s="31">
        <f>5.54-1.872</f>
        <v>3.6680000000000001</v>
      </c>
    </row>
    <row r="726" spans="1:5" ht="34">
      <c r="A726" s="1" t="s">
        <v>64</v>
      </c>
      <c r="B726" s="9" t="s">
        <v>8</v>
      </c>
      <c r="C726" s="32" t="s">
        <v>620</v>
      </c>
      <c r="D726" s="32" t="s">
        <v>623</v>
      </c>
      <c r="E726" s="31">
        <f>9.21-1.794</f>
        <v>7.4160000000000004</v>
      </c>
    </row>
    <row r="727" spans="1:5" ht="34">
      <c r="A727" s="1" t="s">
        <v>64</v>
      </c>
      <c r="B727" s="9" t="s">
        <v>8</v>
      </c>
      <c r="C727" s="32" t="s">
        <v>620</v>
      </c>
      <c r="D727" s="32" t="s">
        <v>622</v>
      </c>
      <c r="E727" s="31">
        <f>1.794-0.208</f>
        <v>1.5860000000000001</v>
      </c>
    </row>
    <row r="728" spans="1:5" ht="34">
      <c r="A728" s="1" t="s">
        <v>64</v>
      </c>
      <c r="B728" s="9" t="s">
        <v>8</v>
      </c>
      <c r="C728" s="32" t="s">
        <v>620</v>
      </c>
      <c r="D728" s="32" t="s">
        <v>619</v>
      </c>
      <c r="E728" s="31">
        <f>5.6-1.874-1.815</f>
        <v>1.9109999999999996</v>
      </c>
    </row>
    <row r="729" spans="1:5" ht="34">
      <c r="A729" s="1" t="s">
        <v>64</v>
      </c>
      <c r="B729" s="9" t="s">
        <v>8</v>
      </c>
      <c r="C729" s="32" t="s">
        <v>620</v>
      </c>
      <c r="D729" s="32" t="s">
        <v>621</v>
      </c>
      <c r="E729" s="31">
        <f>1.815-0.703</f>
        <v>1.1120000000000001</v>
      </c>
    </row>
    <row r="730" spans="1:5" ht="34">
      <c r="A730" s="1" t="s">
        <v>64</v>
      </c>
      <c r="B730" s="9" t="s">
        <v>8</v>
      </c>
      <c r="C730" s="32" t="s">
        <v>620</v>
      </c>
      <c r="D730" s="32" t="s">
        <v>619</v>
      </c>
      <c r="E730" s="31">
        <f>9.13-1.806-3.646</f>
        <v>3.6780000000000008</v>
      </c>
    </row>
    <row r="731" spans="1:5" ht="34">
      <c r="A731" s="1" t="s">
        <v>64</v>
      </c>
      <c r="B731" s="9" t="s">
        <v>8</v>
      </c>
      <c r="C731" s="32" t="s">
        <v>617</v>
      </c>
      <c r="D731" s="32" t="s">
        <v>618</v>
      </c>
      <c r="E731" s="31">
        <f>5.435-1.758</f>
        <v>3.6769999999999996</v>
      </c>
    </row>
    <row r="732" spans="1:5" ht="34">
      <c r="A732" s="1" t="s">
        <v>64</v>
      </c>
      <c r="B732" s="9" t="s">
        <v>8</v>
      </c>
      <c r="C732" s="32" t="s">
        <v>617</v>
      </c>
      <c r="D732" s="32" t="s">
        <v>616</v>
      </c>
      <c r="E732" s="31">
        <f>1.758-0.386</f>
        <v>1.3719999999999999</v>
      </c>
    </row>
    <row r="733" spans="1:5" ht="34">
      <c r="A733" s="1" t="s">
        <v>64</v>
      </c>
      <c r="B733" s="9" t="s">
        <v>11</v>
      </c>
      <c r="C733" s="32" t="s">
        <v>620</v>
      </c>
      <c r="D733" s="23" t="s">
        <v>240</v>
      </c>
      <c r="E733" s="19">
        <f>2.05-0.034</f>
        <v>2.016</v>
      </c>
    </row>
    <row r="734" spans="1:5" ht="34">
      <c r="A734" s="1" t="s">
        <v>64</v>
      </c>
      <c r="B734" s="9" t="s">
        <v>11</v>
      </c>
      <c r="C734" s="32" t="s">
        <v>620</v>
      </c>
      <c r="D734" s="23" t="s">
        <v>166</v>
      </c>
      <c r="E734" s="19">
        <f>2.09-0.047-0.145</f>
        <v>1.8979999999999997</v>
      </c>
    </row>
    <row r="735" spans="1:5" ht="34">
      <c r="A735" s="1" t="s">
        <v>64</v>
      </c>
      <c r="B735" s="9" t="s">
        <v>11</v>
      </c>
      <c r="C735" s="32" t="s">
        <v>620</v>
      </c>
      <c r="D735" s="23" t="s">
        <v>239</v>
      </c>
      <c r="E735" s="19">
        <f>4.02-0.059-0.064-0.19</f>
        <v>3.7069999999999994</v>
      </c>
    </row>
    <row r="736" spans="1:5" ht="34">
      <c r="A736" s="1" t="s">
        <v>64</v>
      </c>
      <c r="B736" s="9" t="s">
        <v>11</v>
      </c>
      <c r="C736" s="32" t="s">
        <v>620</v>
      </c>
      <c r="D736" s="23" t="s">
        <v>675</v>
      </c>
      <c r="E736" s="19">
        <f>2.055-0.336</f>
        <v>1.7190000000000001</v>
      </c>
    </row>
    <row r="737" spans="1:5" ht="34">
      <c r="A737" s="1" t="s">
        <v>64</v>
      </c>
      <c r="B737" s="9" t="s">
        <v>11</v>
      </c>
      <c r="C737" s="32" t="s">
        <v>620</v>
      </c>
      <c r="D737" s="23" t="s">
        <v>196</v>
      </c>
      <c r="E737" s="19">
        <f>1.325-0.446-0.438</f>
        <v>0.441</v>
      </c>
    </row>
    <row r="738" spans="1:5" ht="34">
      <c r="A738" s="1" t="s">
        <v>64</v>
      </c>
      <c r="B738" s="9" t="s">
        <v>11</v>
      </c>
      <c r="C738" s="32" t="s">
        <v>620</v>
      </c>
      <c r="D738" s="23" t="s">
        <v>681</v>
      </c>
      <c r="E738" s="19">
        <f>0.825</f>
        <v>0.82499999999999996</v>
      </c>
    </row>
    <row r="739" spans="1:5" ht="34">
      <c r="A739" s="1" t="s">
        <v>64</v>
      </c>
      <c r="B739" s="9" t="s">
        <v>11</v>
      </c>
      <c r="C739" s="32" t="s">
        <v>620</v>
      </c>
      <c r="D739" s="23" t="s">
        <v>196</v>
      </c>
      <c r="E739" s="19">
        <f>0.825</f>
        <v>0.82499999999999996</v>
      </c>
    </row>
    <row r="740" spans="1:5" ht="34">
      <c r="A740" s="1" t="s">
        <v>64</v>
      </c>
      <c r="B740" s="9" t="s">
        <v>11</v>
      </c>
      <c r="C740" s="32" t="s">
        <v>620</v>
      </c>
      <c r="D740" s="23" t="s">
        <v>682</v>
      </c>
      <c r="E740" s="19">
        <f>0.335-0.29</f>
        <v>4.500000000000004E-2</v>
      </c>
    </row>
    <row r="741" spans="1:5" ht="34">
      <c r="A741" s="1" t="s">
        <v>64</v>
      </c>
      <c r="B741" s="9" t="s">
        <v>11</v>
      </c>
      <c r="C741" s="32" t="s">
        <v>620</v>
      </c>
      <c r="D741" s="23" t="s">
        <v>683</v>
      </c>
      <c r="E741" s="19">
        <f>0.36</f>
        <v>0.36</v>
      </c>
    </row>
    <row r="742" spans="1:5" ht="34">
      <c r="A742" s="1" t="s">
        <v>64</v>
      </c>
      <c r="B742" s="9" t="s">
        <v>11</v>
      </c>
      <c r="C742" s="32" t="s">
        <v>684</v>
      </c>
      <c r="D742" s="27" t="s">
        <v>685</v>
      </c>
      <c r="E742" s="19">
        <f>4.436-0.042-0.022-0.08-1.498-0.026-0.021</f>
        <v>2.7469999999999999</v>
      </c>
    </row>
    <row r="743" spans="1:5" ht="34">
      <c r="A743" s="1" t="s">
        <v>64</v>
      </c>
      <c r="B743" s="9" t="s">
        <v>11</v>
      </c>
      <c r="C743" s="32" t="s">
        <v>620</v>
      </c>
      <c r="D743" s="23" t="s">
        <v>190</v>
      </c>
      <c r="E743" s="19">
        <f>2.165-0.522-0.528</f>
        <v>1.115</v>
      </c>
    </row>
    <row r="744" spans="1:5" ht="34">
      <c r="A744" s="1" t="s">
        <v>64</v>
      </c>
      <c r="B744" s="9" t="s">
        <v>11</v>
      </c>
      <c r="C744" s="32" t="s">
        <v>620</v>
      </c>
      <c r="D744" s="23" t="s">
        <v>686</v>
      </c>
      <c r="E744" s="19">
        <f>0.522-0.04-0.38</f>
        <v>0.10200000000000004</v>
      </c>
    </row>
    <row r="745" spans="1:5" ht="34">
      <c r="A745" s="1" t="s">
        <v>64</v>
      </c>
      <c r="B745" s="9" t="s">
        <v>11</v>
      </c>
      <c r="C745" s="32" t="s">
        <v>684</v>
      </c>
      <c r="D745" s="27" t="s">
        <v>687</v>
      </c>
      <c r="E745" s="19">
        <f>4.41-0.01-0.244-0.036-0.026-1.5</f>
        <v>2.5940000000000012</v>
      </c>
    </row>
    <row r="746" spans="1:5" ht="34">
      <c r="A746" s="1" t="s">
        <v>64</v>
      </c>
      <c r="B746" s="9" t="s">
        <v>11</v>
      </c>
      <c r="C746" s="32" t="s">
        <v>688</v>
      </c>
      <c r="D746" s="27" t="s">
        <v>689</v>
      </c>
      <c r="E746" s="19">
        <f>2.11-0.706-0.692-0.47</f>
        <v>0.24199999999999999</v>
      </c>
    </row>
    <row r="747" spans="1:5" ht="34">
      <c r="A747" s="1" t="s">
        <v>64</v>
      </c>
      <c r="B747" s="9" t="s">
        <v>11</v>
      </c>
      <c r="C747" s="32" t="s">
        <v>688</v>
      </c>
      <c r="D747" s="27" t="s">
        <v>690</v>
      </c>
      <c r="E747" s="19">
        <f>0.706-0.03-0.425-(0.001)</f>
        <v>0.24999999999999994</v>
      </c>
    </row>
    <row r="748" spans="1:5" ht="34">
      <c r="A748" s="1" t="s">
        <v>64</v>
      </c>
      <c r="B748" s="9" t="s">
        <v>11</v>
      </c>
      <c r="C748" s="32" t="s">
        <v>684</v>
      </c>
      <c r="D748" s="27" t="s">
        <v>691</v>
      </c>
      <c r="E748" s="19">
        <f>4.458-0.1-0.08-0.04-0.024-0.262-0.242</f>
        <v>3.7100000000000004</v>
      </c>
    </row>
    <row r="749" spans="1:5" ht="34">
      <c r="A749" s="1" t="s">
        <v>64</v>
      </c>
      <c r="B749" s="9" t="s">
        <v>11</v>
      </c>
      <c r="C749" s="32" t="s">
        <v>684</v>
      </c>
      <c r="D749" s="27" t="s">
        <v>692</v>
      </c>
      <c r="E749" s="19">
        <f>4.516-0.32-0.316-0.078-0.216-1.502-0.026-0.016-0.326</f>
        <v>1.7159999999999997</v>
      </c>
    </row>
    <row r="750" spans="1:5" ht="34">
      <c r="A750" s="1" t="s">
        <v>64</v>
      </c>
      <c r="B750" s="9" t="s">
        <v>11</v>
      </c>
      <c r="C750" s="32" t="s">
        <v>620</v>
      </c>
      <c r="D750" s="27" t="s">
        <v>184</v>
      </c>
      <c r="E750" s="19">
        <f>2.25-1.125</f>
        <v>1.125</v>
      </c>
    </row>
    <row r="751" spans="1:5" ht="34">
      <c r="A751" s="1" t="s">
        <v>64</v>
      </c>
      <c r="B751" s="9" t="s">
        <v>11</v>
      </c>
      <c r="C751" s="32" t="s">
        <v>620</v>
      </c>
      <c r="D751" s="27" t="s">
        <v>693</v>
      </c>
      <c r="E751" s="19">
        <f>1.125-0.049-0.143+(0.002)</f>
        <v>0.93500000000000005</v>
      </c>
    </row>
    <row r="752" spans="1:5" ht="34">
      <c r="A752" s="1" t="s">
        <v>64</v>
      </c>
      <c r="B752" s="9" t="s">
        <v>11</v>
      </c>
      <c r="C752" s="32" t="s">
        <v>684</v>
      </c>
      <c r="D752" s="27" t="s">
        <v>694</v>
      </c>
      <c r="E752" s="19">
        <f>6.476-0.09-0.022-0.196-2-0.53-0.138</f>
        <v>3.5</v>
      </c>
    </row>
    <row r="753" spans="1:5" ht="34">
      <c r="A753" s="1" t="s">
        <v>64</v>
      </c>
      <c r="B753" s="9" t="s">
        <v>11</v>
      </c>
      <c r="C753" s="32" t="s">
        <v>620</v>
      </c>
      <c r="D753" s="28" t="s">
        <v>695</v>
      </c>
      <c r="E753" s="31">
        <f>1.385-0.06-0.178-0.238-(0.001)</f>
        <v>0.90800000000000003</v>
      </c>
    </row>
    <row r="754" spans="1:5" ht="34">
      <c r="A754" s="1" t="s">
        <v>64</v>
      </c>
      <c r="B754" s="9" t="s">
        <v>11</v>
      </c>
      <c r="C754" s="32" t="s">
        <v>620</v>
      </c>
      <c r="D754" s="28" t="s">
        <v>180</v>
      </c>
      <c r="E754" s="19">
        <f>2.805-1.4</f>
        <v>1.4050000000000002</v>
      </c>
    </row>
    <row r="755" spans="1:5" ht="34">
      <c r="A755" s="1" t="s">
        <v>64</v>
      </c>
      <c r="B755" s="9" t="s">
        <v>11</v>
      </c>
      <c r="C755" s="32" t="s">
        <v>620</v>
      </c>
      <c r="D755" s="28" t="s">
        <v>696</v>
      </c>
      <c r="E755" s="19">
        <f>1.4-0.95</f>
        <v>0.44999999999999996</v>
      </c>
    </row>
    <row r="756" spans="1:5" ht="34">
      <c r="A756" s="1" t="s">
        <v>64</v>
      </c>
      <c r="B756" s="9" t="s">
        <v>11</v>
      </c>
      <c r="C756" s="32" t="s">
        <v>684</v>
      </c>
      <c r="D756" s="27" t="s">
        <v>697</v>
      </c>
      <c r="E756" s="19">
        <f>6.364-0.054-1.954</f>
        <v>4.3559999999999999</v>
      </c>
    </row>
    <row r="757" spans="1:5" ht="34">
      <c r="A757" s="1" t="s">
        <v>64</v>
      </c>
      <c r="B757" s="9" t="s">
        <v>11</v>
      </c>
      <c r="C757" s="32" t="s">
        <v>620</v>
      </c>
      <c r="D757" s="32" t="s">
        <v>650</v>
      </c>
      <c r="E757" s="36">
        <f>4.91</f>
        <v>4.91</v>
      </c>
    </row>
    <row r="758" spans="1:5" ht="34">
      <c r="A758" s="1" t="s">
        <v>64</v>
      </c>
      <c r="B758" s="9" t="s">
        <v>11</v>
      </c>
      <c r="C758" s="32" t="s">
        <v>688</v>
      </c>
      <c r="D758" s="28" t="s">
        <v>207</v>
      </c>
      <c r="E758" s="31">
        <f>9.85-1.642</f>
        <v>8.2080000000000002</v>
      </c>
    </row>
    <row r="759" spans="1:5" ht="34">
      <c r="A759" s="1" t="s">
        <v>64</v>
      </c>
      <c r="B759" s="9" t="s">
        <v>11</v>
      </c>
      <c r="C759" s="32" t="s">
        <v>688</v>
      </c>
      <c r="D759" s="28" t="s">
        <v>698</v>
      </c>
      <c r="E759" s="31">
        <f>1.642-0.354</f>
        <v>1.2879999999999998</v>
      </c>
    </row>
    <row r="760" spans="1:5" ht="34">
      <c r="A760" s="1" t="s">
        <v>64</v>
      </c>
      <c r="B760" s="9" t="s">
        <v>11</v>
      </c>
      <c r="C760" s="32" t="s">
        <v>620</v>
      </c>
      <c r="D760" s="28" t="s">
        <v>641</v>
      </c>
      <c r="E760" s="31">
        <f>11.84-1.692-1.706-1.694</f>
        <v>6.7480000000000002</v>
      </c>
    </row>
    <row r="761" spans="1:5" ht="34">
      <c r="A761" s="1" t="s">
        <v>64</v>
      </c>
      <c r="B761" s="9" t="s">
        <v>11</v>
      </c>
      <c r="C761" s="32" t="s">
        <v>620</v>
      </c>
      <c r="D761" s="28" t="s">
        <v>699</v>
      </c>
      <c r="E761" s="31">
        <f>1.706-0.068-0.22-(0.006)-0.114</f>
        <v>1.2979999999999998</v>
      </c>
    </row>
    <row r="762" spans="1:5" ht="34">
      <c r="A762" s="1" t="s">
        <v>64</v>
      </c>
      <c r="B762" s="9" t="s">
        <v>11</v>
      </c>
      <c r="C762" s="32" t="s">
        <v>620</v>
      </c>
      <c r="D762" s="32" t="s">
        <v>633</v>
      </c>
      <c r="E762" s="19">
        <f>7.445-1.841</f>
        <v>5.6040000000000001</v>
      </c>
    </row>
    <row r="763" spans="1:5" ht="34">
      <c r="A763" s="1" t="s">
        <v>64</v>
      </c>
      <c r="B763" s="9" t="s">
        <v>11</v>
      </c>
      <c r="C763" s="32" t="s">
        <v>620</v>
      </c>
      <c r="D763" s="32" t="s">
        <v>700</v>
      </c>
      <c r="E763" s="31">
        <f>1.841-0.471-0.238-(0.002)-0.22</f>
        <v>0.91000000000000014</v>
      </c>
    </row>
    <row r="764" spans="1:5" ht="34">
      <c r="A764" s="1" t="s">
        <v>64</v>
      </c>
      <c r="B764" s="9" t="s">
        <v>11</v>
      </c>
      <c r="C764" s="32" t="s">
        <v>620</v>
      </c>
      <c r="D764" s="32" t="s">
        <v>633</v>
      </c>
      <c r="E764" s="19">
        <f>5.555</f>
        <v>5.5549999999999997</v>
      </c>
    </row>
    <row r="765" spans="1:5" ht="34">
      <c r="A765" s="1" t="s">
        <v>64</v>
      </c>
      <c r="B765" s="9" t="s">
        <v>11</v>
      </c>
      <c r="C765" s="32" t="s">
        <v>620</v>
      </c>
      <c r="D765" s="28" t="s">
        <v>630</v>
      </c>
      <c r="E765" s="19">
        <f>12.24-1.726</f>
        <v>10.513999999999999</v>
      </c>
    </row>
    <row r="766" spans="1:5" ht="34">
      <c r="A766" s="1" t="s">
        <v>64</v>
      </c>
      <c r="B766" s="9" t="s">
        <v>11</v>
      </c>
      <c r="C766" s="32" t="s">
        <v>620</v>
      </c>
      <c r="D766" s="28" t="s">
        <v>701</v>
      </c>
      <c r="E766" s="31">
        <f>1.726-0.566-0.073-(0.001)-0.28-(0.003)-0.143-(0.002)</f>
        <v>0.65800000000000025</v>
      </c>
    </row>
    <row r="767" spans="1:5" ht="34">
      <c r="A767" s="1" t="s">
        <v>64</v>
      </c>
      <c r="B767" s="9" t="s">
        <v>11</v>
      </c>
      <c r="C767" s="32" t="s">
        <v>684</v>
      </c>
      <c r="D767" s="28" t="s">
        <v>702</v>
      </c>
      <c r="E767" s="31">
        <f>4.57-0.584-0.518-1.294-0.344-0.694</f>
        <v>1.1360000000000001</v>
      </c>
    </row>
    <row r="768" spans="1:5" ht="34">
      <c r="A768" s="1" t="s">
        <v>64</v>
      </c>
      <c r="B768" s="9" t="s">
        <v>11</v>
      </c>
      <c r="C768" s="32" t="s">
        <v>620</v>
      </c>
      <c r="D768" s="32" t="s">
        <v>627</v>
      </c>
      <c r="E768" s="31">
        <f>5.44</f>
        <v>5.44</v>
      </c>
    </row>
    <row r="769" spans="1:5" ht="34">
      <c r="A769" s="1" t="s">
        <v>64</v>
      </c>
      <c r="B769" s="9" t="s">
        <v>11</v>
      </c>
      <c r="C769" s="32" t="s">
        <v>684</v>
      </c>
      <c r="D769" s="28" t="s">
        <v>703</v>
      </c>
      <c r="E769" s="31">
        <f>4.778-0.59-0.066-0.586-0.408-0.084-0.394-0.174</f>
        <v>2.476</v>
      </c>
    </row>
    <row r="770" spans="1:5" ht="34">
      <c r="A770" s="1" t="s">
        <v>64</v>
      </c>
      <c r="B770" s="9" t="s">
        <v>11</v>
      </c>
      <c r="C770" s="32" t="s">
        <v>684</v>
      </c>
      <c r="D770" s="28" t="s">
        <v>704</v>
      </c>
      <c r="E770" s="31">
        <f>3.288</f>
        <v>3.2879999999999998</v>
      </c>
    </row>
    <row r="771" spans="1:5" ht="34">
      <c r="A771" s="1" t="s">
        <v>64</v>
      </c>
      <c r="B771" s="9" t="s">
        <v>11</v>
      </c>
      <c r="C771" s="32" t="s">
        <v>620</v>
      </c>
      <c r="D771" s="32" t="s">
        <v>705</v>
      </c>
      <c r="E771" s="31">
        <f>1.78-0.916-(0.001)</f>
        <v>0.86299999999999999</v>
      </c>
    </row>
    <row r="772" spans="1:5" ht="34">
      <c r="A772" s="1" t="s">
        <v>64</v>
      </c>
      <c r="B772" s="9" t="s">
        <v>11</v>
      </c>
      <c r="C772" s="32" t="s">
        <v>684</v>
      </c>
      <c r="D772" s="28" t="s">
        <v>706</v>
      </c>
      <c r="E772" s="31">
        <f>4.794-0.358-0.298-0.412-0.156-0.914</f>
        <v>2.6559999999999997</v>
      </c>
    </row>
    <row r="773" spans="1:5" ht="34">
      <c r="A773" s="1" t="s">
        <v>64</v>
      </c>
      <c r="B773" s="9" t="s">
        <v>11</v>
      </c>
      <c r="C773" s="32" t="s">
        <v>684</v>
      </c>
      <c r="D773" s="28" t="s">
        <v>707</v>
      </c>
      <c r="E773" s="31">
        <f>6.276-1.55-0.116</f>
        <v>4.6100000000000003</v>
      </c>
    </row>
    <row r="774" spans="1:5" ht="34">
      <c r="A774" s="1" t="s">
        <v>64</v>
      </c>
      <c r="B774" s="9" t="s">
        <v>7</v>
      </c>
      <c r="C774" s="21" t="s">
        <v>821</v>
      </c>
      <c r="D774" s="14" t="s">
        <v>240</v>
      </c>
      <c r="E774" s="16">
        <f>1.02-0.16-0.032-0.48-0.032-0.034-0.064-0.032-0.126-0.03</f>
        <v>2.9999999999999916E-2</v>
      </c>
    </row>
    <row r="775" spans="1:5" ht="34">
      <c r="A775" s="1" t="s">
        <v>64</v>
      </c>
      <c r="B775" s="9" t="s">
        <v>7</v>
      </c>
      <c r="C775" s="21" t="s">
        <v>821</v>
      </c>
      <c r="D775" s="14" t="s">
        <v>822</v>
      </c>
      <c r="E775" s="16">
        <f>0.938-0.16</f>
        <v>0.77799999999999991</v>
      </c>
    </row>
    <row r="776" spans="1:5" ht="34">
      <c r="A776" s="1" t="s">
        <v>64</v>
      </c>
      <c r="B776" s="9" t="s">
        <v>7</v>
      </c>
      <c r="C776" s="21" t="s">
        <v>821</v>
      </c>
      <c r="D776" s="14" t="s">
        <v>240</v>
      </c>
      <c r="E776" s="16">
        <f>0.51-0.032-0.16-0.16-0.032</f>
        <v>0.12599999999999995</v>
      </c>
    </row>
    <row r="777" spans="1:5" ht="34">
      <c r="A777" s="1" t="s">
        <v>64</v>
      </c>
      <c r="B777" s="9" t="s">
        <v>7</v>
      </c>
      <c r="C777" s="21" t="s">
        <v>821</v>
      </c>
      <c r="D777" s="14" t="s">
        <v>240</v>
      </c>
      <c r="E777" s="16">
        <f>1.66-0.194-0.16-0.032-0.098-0.162-0.42</f>
        <v>0.59400000000000008</v>
      </c>
    </row>
    <row r="778" spans="1:5" ht="34">
      <c r="A778" s="1" t="s">
        <v>64</v>
      </c>
      <c r="B778" s="9" t="s">
        <v>7</v>
      </c>
      <c r="C778" s="21" t="s">
        <v>788</v>
      </c>
      <c r="D778" s="14" t="s">
        <v>820</v>
      </c>
      <c r="E778" s="16">
        <f>0.52-0.048-0.328-0.048-0.047</f>
        <v>4.9000000000000016E-2</v>
      </c>
    </row>
    <row r="779" spans="1:5" ht="34">
      <c r="A779" s="1" t="s">
        <v>64</v>
      </c>
      <c r="B779" s="9" t="s">
        <v>7</v>
      </c>
      <c r="C779" s="21" t="s">
        <v>788</v>
      </c>
      <c r="D779" s="14" t="s">
        <v>152</v>
      </c>
      <c r="E779" s="15">
        <f>0.495-0.063-0.123</f>
        <v>0.309</v>
      </c>
    </row>
    <row r="780" spans="1:5" ht="34">
      <c r="A780" s="1" t="s">
        <v>64</v>
      </c>
      <c r="B780" s="9" t="s">
        <v>7</v>
      </c>
      <c r="C780" s="21" t="s">
        <v>818</v>
      </c>
      <c r="D780" s="14" t="s">
        <v>166</v>
      </c>
      <c r="E780" s="16">
        <f>4.044-1.184-0.048-0.048-0.094-0.046-0.286-0.144-0.046-0.048-0.234-0.046-0.237-0.187-0.046-0.046-0.096-0.094-0.28-0.048</f>
        <v>0.78599999999999937</v>
      </c>
    </row>
    <row r="781" spans="1:5" ht="34">
      <c r="A781" s="1" t="s">
        <v>64</v>
      </c>
      <c r="B781" s="9" t="s">
        <v>7</v>
      </c>
      <c r="C781" s="21" t="s">
        <v>788</v>
      </c>
      <c r="D781" s="14" t="s">
        <v>819</v>
      </c>
      <c r="E781" s="15">
        <f>1.5-0.076-0.074-0.302-0.15-0.075-0.073-0.075-0.226-0.15</f>
        <v>0.29899999999999993</v>
      </c>
    </row>
    <row r="782" spans="1:5" ht="34">
      <c r="A782" s="1" t="s">
        <v>64</v>
      </c>
      <c r="B782" s="9" t="s">
        <v>7</v>
      </c>
      <c r="C782" s="21" t="s">
        <v>818</v>
      </c>
      <c r="D782" s="14" t="s">
        <v>239</v>
      </c>
      <c r="E782" s="16">
        <f>4.924-0.064-0.062-0.064-1.058-0.062-0.062-0.248-0.125-0.187-0.504-0.062-0.124-0.062-0.371-0.246-0.308-0.252-0.126-0.19-0.062-0.504-0.064</f>
        <v>0.11700000000000049</v>
      </c>
    </row>
    <row r="783" spans="1:5" ht="34">
      <c r="A783" s="1" t="s">
        <v>64</v>
      </c>
      <c r="B783" s="9" t="s">
        <v>7</v>
      </c>
      <c r="C783" s="21" t="s">
        <v>818</v>
      </c>
      <c r="D783" s="14" t="s">
        <v>239</v>
      </c>
      <c r="E783" s="16">
        <f>6.01-0.256-0.318-2.682-0.126-0.126-0.63</f>
        <v>1.8720000000000003</v>
      </c>
    </row>
    <row r="784" spans="1:5" ht="34">
      <c r="A784" s="1" t="s">
        <v>64</v>
      </c>
      <c r="B784" s="9" t="s">
        <v>7</v>
      </c>
      <c r="C784" s="21" t="s">
        <v>788</v>
      </c>
      <c r="D784" s="14" t="s">
        <v>817</v>
      </c>
      <c r="E784" s="15">
        <f>6.154-0.154-0.154-0.389-1.005-0.077-0.619-0.077-0.154-0.078-0.078-0.077-0.078-0.078-0.154-0.39</f>
        <v>2.592000000000001</v>
      </c>
    </row>
    <row r="785" spans="1:5" ht="34">
      <c r="A785" s="1" t="s">
        <v>64</v>
      </c>
      <c r="B785" s="9" t="s">
        <v>7</v>
      </c>
      <c r="C785" s="21" t="s">
        <v>788</v>
      </c>
      <c r="D785" s="14" t="s">
        <v>816</v>
      </c>
      <c r="E785" s="15">
        <f>1.455-0.194-0.096-0.098-0.097-0.194-0.097-0.194-0.195</f>
        <v>0.29000000000000004</v>
      </c>
    </row>
    <row r="786" spans="1:5" ht="34">
      <c r="A786" s="1" t="s">
        <v>64</v>
      </c>
      <c r="B786" s="9" t="s">
        <v>7</v>
      </c>
      <c r="C786" s="21" t="s">
        <v>788</v>
      </c>
      <c r="D786" s="14" t="s">
        <v>815</v>
      </c>
      <c r="E786" s="16">
        <f>4.194-0.098-0.685-0.097-0.388-0.096-0.097-0.77</f>
        <v>1.9630000000000001</v>
      </c>
    </row>
    <row r="787" spans="1:5" ht="34">
      <c r="A787" s="1" t="s">
        <v>64</v>
      </c>
      <c r="B787" s="9" t="s">
        <v>7</v>
      </c>
      <c r="C787" s="32" t="s">
        <v>814</v>
      </c>
      <c r="D787" s="37" t="s">
        <v>813</v>
      </c>
      <c r="E787" s="18">
        <f>2.04-0.676-0.34-0.34-0.338-0.057-0.063-0.177-0.029</f>
        <v>1.9999999999999709E-2</v>
      </c>
    </row>
    <row r="788" spans="1:5" ht="34">
      <c r="A788" s="1" t="s">
        <v>64</v>
      </c>
      <c r="B788" s="9" t="s">
        <v>7</v>
      </c>
      <c r="C788" s="32" t="s">
        <v>810</v>
      </c>
      <c r="D788" s="37" t="s">
        <v>236</v>
      </c>
      <c r="E788" s="18">
        <f>3.33-0.354-0.34-0.671-1.08</f>
        <v>0.88500000000000001</v>
      </c>
    </row>
    <row r="789" spans="1:5" ht="34">
      <c r="A789" s="1" t="s">
        <v>64</v>
      </c>
      <c r="B789" s="9" t="s">
        <v>7</v>
      </c>
      <c r="C789" s="32" t="s">
        <v>810</v>
      </c>
      <c r="D789" s="37" t="s">
        <v>812</v>
      </c>
      <c r="E789" s="18">
        <f>0.69-0.34-0.059+(0.004)-0.042-0.178-0.041-(0.001)</f>
        <v>3.2999999999999953E-2</v>
      </c>
    </row>
    <row r="790" spans="1:5" ht="34">
      <c r="A790" s="1" t="s">
        <v>64</v>
      </c>
      <c r="B790" s="9" t="s">
        <v>7</v>
      </c>
      <c r="C790" s="32" t="s">
        <v>810</v>
      </c>
      <c r="D790" s="37" t="s">
        <v>811</v>
      </c>
      <c r="E790" s="18">
        <f>1.03</f>
        <v>1.03</v>
      </c>
    </row>
    <row r="791" spans="1:5" ht="34">
      <c r="A791" s="1" t="s">
        <v>64</v>
      </c>
      <c r="B791" s="9" t="s">
        <v>7</v>
      </c>
      <c r="C791" s="32" t="s">
        <v>810</v>
      </c>
      <c r="D791" s="37" t="s">
        <v>236</v>
      </c>
      <c r="E791" s="18">
        <f>4.22</f>
        <v>4.22</v>
      </c>
    </row>
    <row r="792" spans="1:5" ht="34">
      <c r="A792" s="1" t="s">
        <v>64</v>
      </c>
      <c r="B792" s="9" t="s">
        <v>7</v>
      </c>
      <c r="C792" s="21" t="s">
        <v>788</v>
      </c>
      <c r="D792" s="14" t="s">
        <v>809</v>
      </c>
      <c r="E792" s="15">
        <f>2.008-0.097-0.096-0.097-0.189-0.097-0.094-0.188-0.378-0.383</f>
        <v>0.3889999999999999</v>
      </c>
    </row>
    <row r="793" spans="1:5" ht="34">
      <c r="A793" s="1" t="s">
        <v>64</v>
      </c>
      <c r="B793" s="9" t="s">
        <v>7</v>
      </c>
      <c r="C793" s="32" t="s">
        <v>808</v>
      </c>
      <c r="D793" s="17" t="s">
        <v>807</v>
      </c>
      <c r="E793" s="18">
        <f>0.412-0.208-0.032-0.028+(0.002)</f>
        <v>0.14599999999999999</v>
      </c>
    </row>
    <row r="794" spans="1:5" ht="34">
      <c r="A794" s="1" t="s">
        <v>64</v>
      </c>
      <c r="B794" s="9" t="s">
        <v>7</v>
      </c>
      <c r="C794" s="32" t="s">
        <v>790</v>
      </c>
      <c r="D794" s="17" t="s">
        <v>196</v>
      </c>
      <c r="E794" s="18">
        <f>4.29-0.439</f>
        <v>3.851</v>
      </c>
    </row>
    <row r="795" spans="1:5" ht="34">
      <c r="A795" s="1" t="s">
        <v>64</v>
      </c>
      <c r="B795" s="9" t="s">
        <v>7</v>
      </c>
      <c r="C795" s="21" t="s">
        <v>788</v>
      </c>
      <c r="D795" s="17" t="s">
        <v>806</v>
      </c>
      <c r="E795" s="18">
        <f>2.044-0.112-0.225-0.112-0.114-0.112-0.112-0.114-0.453-0.112-0.114-0.114</f>
        <v>0.34999999999999931</v>
      </c>
    </row>
    <row r="796" spans="1:5" ht="34">
      <c r="A796" s="1" t="s">
        <v>64</v>
      </c>
      <c r="B796" s="9" t="s">
        <v>7</v>
      </c>
      <c r="C796" s="21" t="s">
        <v>788</v>
      </c>
      <c r="D796" s="17" t="s">
        <v>805</v>
      </c>
      <c r="E796" s="18">
        <f>0.915-0.464-0.151</f>
        <v>0.30000000000000004</v>
      </c>
    </row>
    <row r="797" spans="1:5" ht="34">
      <c r="A797" s="1" t="s">
        <v>64</v>
      </c>
      <c r="B797" s="9" t="s">
        <v>7</v>
      </c>
      <c r="C797" s="21" t="s">
        <v>788</v>
      </c>
      <c r="D797" s="17" t="s">
        <v>804</v>
      </c>
      <c r="E797" s="18">
        <f>7.956-0.6-0.449-1.802-0.15-0.292-0.449-0.446-0.898-0.149-0.148-0.6-0.61</f>
        <v>1.363</v>
      </c>
    </row>
    <row r="798" spans="1:5" ht="34">
      <c r="A798" s="1" t="s">
        <v>64</v>
      </c>
      <c r="B798" s="9" t="s">
        <v>7</v>
      </c>
      <c r="C798" s="32" t="s">
        <v>716</v>
      </c>
      <c r="D798" s="23" t="s">
        <v>803</v>
      </c>
      <c r="E798" s="18">
        <f>6.18-0.57-0.569-1.11-0.546-1.114</f>
        <v>2.270999999999999</v>
      </c>
    </row>
    <row r="799" spans="1:5" ht="34">
      <c r="A799" s="1" t="s">
        <v>64</v>
      </c>
      <c r="B799" s="9" t="s">
        <v>7</v>
      </c>
      <c r="C799" s="32" t="s">
        <v>716</v>
      </c>
      <c r="D799" s="23" t="s">
        <v>802</v>
      </c>
      <c r="E799" s="18">
        <f>0.569-0.191-0.204-(0.001)-0.048</f>
        <v>0.12499999999999996</v>
      </c>
    </row>
    <row r="800" spans="1:5" ht="34">
      <c r="A800" s="1" t="s">
        <v>64</v>
      </c>
      <c r="B800" s="9" t="s">
        <v>7</v>
      </c>
      <c r="C800" s="32" t="s">
        <v>716</v>
      </c>
      <c r="D800" s="23" t="s">
        <v>190</v>
      </c>
      <c r="E800" s="18">
        <f>3.36-0.554-0.56-0.562-0.561-0.565</f>
        <v>0.55799999999999983</v>
      </c>
    </row>
    <row r="801" spans="1:5" ht="34">
      <c r="A801" s="1" t="s">
        <v>64</v>
      </c>
      <c r="B801" s="9" t="s">
        <v>7</v>
      </c>
      <c r="C801" s="21" t="s">
        <v>788</v>
      </c>
      <c r="D801" s="17" t="s">
        <v>801</v>
      </c>
      <c r="E801" s="18">
        <f>10.228-0.212-0.214-0.212-0.638-0.632-0.213-4.259-0.21-0.848-0.213-1.272-0.208-0.211-0.64-(0.04)</f>
        <v>0.20600000000000088</v>
      </c>
    </row>
    <row r="802" spans="1:5" ht="34">
      <c r="A802" s="1" t="s">
        <v>64</v>
      </c>
      <c r="B802" s="9" t="s">
        <v>7</v>
      </c>
      <c r="C802" s="32" t="s">
        <v>716</v>
      </c>
      <c r="D802" s="23" t="s">
        <v>800</v>
      </c>
      <c r="E802" s="18">
        <f>0.17</f>
        <v>0.17</v>
      </c>
    </row>
    <row r="803" spans="1:5" ht="34">
      <c r="A803" s="1" t="s">
        <v>64</v>
      </c>
      <c r="B803" s="9" t="s">
        <v>7</v>
      </c>
      <c r="C803" s="21" t="s">
        <v>788</v>
      </c>
      <c r="D803" s="17" t="s">
        <v>799</v>
      </c>
      <c r="E803" s="18">
        <f>6.818-0.244-0.245-0.735-0.493-1.963-1.237-1.718</f>
        <v>0.18299999999999894</v>
      </c>
    </row>
    <row r="804" spans="1:5" ht="34">
      <c r="A804" s="1" t="s">
        <v>64</v>
      </c>
      <c r="B804" s="9" t="s">
        <v>7</v>
      </c>
      <c r="C804" s="21" t="s">
        <v>788</v>
      </c>
      <c r="D804" s="17" t="s">
        <v>798</v>
      </c>
      <c r="E804" s="18">
        <f>2.15-0.82</f>
        <v>1.33</v>
      </c>
    </row>
    <row r="805" spans="1:5" ht="34">
      <c r="A805" s="1" t="s">
        <v>64</v>
      </c>
      <c r="B805" s="9" t="s">
        <v>7</v>
      </c>
      <c r="C805" s="21" t="s">
        <v>788</v>
      </c>
      <c r="D805" s="27" t="s">
        <v>797</v>
      </c>
      <c r="E805" s="18">
        <f>1.762-0.298-0.9</f>
        <v>0.56399999999999995</v>
      </c>
    </row>
    <row r="806" spans="1:5" ht="34">
      <c r="A806" s="1" t="s">
        <v>64</v>
      </c>
      <c r="B806" s="9" t="s">
        <v>7</v>
      </c>
      <c r="C806" s="21" t="s">
        <v>788</v>
      </c>
      <c r="D806" s="17" t="s">
        <v>796</v>
      </c>
      <c r="E806" s="18">
        <f>5.848-2.924-0.293-0.291-0.582-0.583-1</f>
        <v>0.17500000000000004</v>
      </c>
    </row>
    <row r="807" spans="1:5" ht="34">
      <c r="A807" s="1" t="s">
        <v>64</v>
      </c>
      <c r="B807" s="12" t="s">
        <v>7</v>
      </c>
      <c r="C807" s="21" t="s">
        <v>788</v>
      </c>
      <c r="D807" s="17" t="s">
        <v>795</v>
      </c>
      <c r="E807" s="18">
        <f>6.95-0.584</f>
        <v>6.3660000000000005</v>
      </c>
    </row>
    <row r="808" spans="1:5" ht="34">
      <c r="A808" s="1" t="s">
        <v>64</v>
      </c>
      <c r="B808" s="12" t="s">
        <v>7</v>
      </c>
      <c r="C808" s="32" t="s">
        <v>716</v>
      </c>
      <c r="D808" s="23" t="s">
        <v>794</v>
      </c>
      <c r="E808" s="18">
        <f>0.832-0.558-0.072-(0.002)-0.037-0.072</f>
        <v>9.09999999999999E-2</v>
      </c>
    </row>
    <row r="809" spans="1:5" ht="34">
      <c r="A809" s="1" t="s">
        <v>64</v>
      </c>
      <c r="B809" s="12" t="s">
        <v>7</v>
      </c>
      <c r="C809" s="32" t="s">
        <v>716</v>
      </c>
      <c r="D809" s="23" t="s">
        <v>793</v>
      </c>
      <c r="E809" s="18">
        <f>8.36-0.854-0.844-2.494-0.833-0.833-1.662-0.639-(0.013)</f>
        <v>0.18799999999999895</v>
      </c>
    </row>
    <row r="810" spans="1:5" ht="34">
      <c r="A810" s="1" t="s">
        <v>64</v>
      </c>
      <c r="B810" s="9" t="s">
        <v>7</v>
      </c>
      <c r="C810" s="32" t="s">
        <v>716</v>
      </c>
      <c r="D810" s="23" t="s">
        <v>792</v>
      </c>
      <c r="E810" s="18">
        <f>0.833-0.354-0.419</f>
        <v>0.06</v>
      </c>
    </row>
    <row r="811" spans="1:5" ht="34">
      <c r="A811" s="1" t="s">
        <v>64</v>
      </c>
      <c r="B811" s="12" t="s">
        <v>7</v>
      </c>
      <c r="C811" s="32" t="s">
        <v>790</v>
      </c>
      <c r="D811" s="17" t="s">
        <v>185</v>
      </c>
      <c r="E811" s="18">
        <f>4.16-0.831-0.837-0.828</f>
        <v>1.6640000000000001</v>
      </c>
    </row>
    <row r="812" spans="1:5" ht="34">
      <c r="A812" s="1" t="s">
        <v>64</v>
      </c>
      <c r="B812" s="12" t="s">
        <v>7</v>
      </c>
      <c r="C812" s="32" t="s">
        <v>790</v>
      </c>
      <c r="D812" s="17" t="s">
        <v>791</v>
      </c>
      <c r="E812" s="18">
        <f>0.837-0.215</f>
        <v>0.622</v>
      </c>
    </row>
    <row r="813" spans="1:5" ht="34">
      <c r="A813" s="1" t="s">
        <v>64</v>
      </c>
      <c r="B813" s="12" t="s">
        <v>7</v>
      </c>
      <c r="C813" s="32" t="s">
        <v>790</v>
      </c>
      <c r="D813" s="17" t="s">
        <v>789</v>
      </c>
      <c r="E813" s="18">
        <f>0.828-0.415</f>
        <v>0.41299999999999998</v>
      </c>
    </row>
    <row r="814" spans="1:5" ht="34">
      <c r="A814" s="1" t="s">
        <v>64</v>
      </c>
      <c r="B814" s="9" t="s">
        <v>7</v>
      </c>
      <c r="C814" s="21" t="s">
        <v>788</v>
      </c>
      <c r="D814" s="27" t="s">
        <v>787</v>
      </c>
      <c r="E814" s="18">
        <f>4.106-1.023-0.343-0.349</f>
        <v>2.391</v>
      </c>
    </row>
    <row r="815" spans="1:5" ht="34">
      <c r="A815" s="1" t="s">
        <v>64</v>
      </c>
      <c r="B815" s="9" t="s">
        <v>7</v>
      </c>
      <c r="C815" s="32" t="s">
        <v>723</v>
      </c>
      <c r="D815" s="27" t="s">
        <v>786</v>
      </c>
      <c r="E815" s="18">
        <f>0.96-0.326-0.162-0.322</f>
        <v>0.14999999999999986</v>
      </c>
    </row>
    <row r="816" spans="1:5" ht="34">
      <c r="A816" s="1" t="s">
        <v>64</v>
      </c>
      <c r="B816" s="12" t="s">
        <v>7</v>
      </c>
      <c r="C816" s="32" t="s">
        <v>723</v>
      </c>
      <c r="D816" s="27" t="s">
        <v>218</v>
      </c>
      <c r="E816" s="18">
        <f>5.85-0.974-0.968-0.974-0.976-0.964</f>
        <v>0.99399999999999933</v>
      </c>
    </row>
    <row r="817" spans="1:5" ht="34">
      <c r="A817" s="1" t="s">
        <v>64</v>
      </c>
      <c r="B817" s="9" t="s">
        <v>7</v>
      </c>
      <c r="C817" s="32" t="s">
        <v>723</v>
      </c>
      <c r="D817" s="27" t="s">
        <v>785</v>
      </c>
      <c r="E817" s="18">
        <f>0.964-0.484</f>
        <v>0.48</v>
      </c>
    </row>
    <row r="818" spans="1:5" ht="34">
      <c r="A818" s="1" t="s">
        <v>64</v>
      </c>
      <c r="B818" s="9" t="s">
        <v>7</v>
      </c>
      <c r="C818" s="32" t="s">
        <v>728</v>
      </c>
      <c r="D818" s="23" t="s">
        <v>692</v>
      </c>
      <c r="E818" s="18">
        <f>10.096-0.122-0.446-0.018-1.874-0.303-0.992-0.166-0.026-0.018-0.408-0.088-0.182-1.012-0.164-0.04-0.054</f>
        <v>4.1829999999999989</v>
      </c>
    </row>
    <row r="819" spans="1:5" ht="34">
      <c r="A819" s="1" t="s">
        <v>64</v>
      </c>
      <c r="B819" s="12" t="s">
        <v>7</v>
      </c>
      <c r="C819" s="32" t="s">
        <v>723</v>
      </c>
      <c r="D819" s="27" t="s">
        <v>784</v>
      </c>
      <c r="E819" s="18">
        <f>1.109-0.372-0.094-0.094-(0.001)-0.371-(0.001)-0.067-(0.002)</f>
        <v>0.10700000000000004</v>
      </c>
    </row>
    <row r="820" spans="1:5" ht="34">
      <c r="A820" s="1" t="s">
        <v>64</v>
      </c>
      <c r="B820" s="12" t="s">
        <v>7</v>
      </c>
      <c r="C820" s="32" t="s">
        <v>723</v>
      </c>
      <c r="D820" s="27" t="s">
        <v>783</v>
      </c>
      <c r="E820" s="18">
        <f>1.103-0.553-0.188-(0.001)-0.23</f>
        <v>0.13099999999999992</v>
      </c>
    </row>
    <row r="821" spans="1:5" ht="34">
      <c r="A821" s="1" t="s">
        <v>64</v>
      </c>
      <c r="B821" s="12" t="s">
        <v>7</v>
      </c>
      <c r="C821" s="32" t="s">
        <v>723</v>
      </c>
      <c r="D821" s="27" t="s">
        <v>782</v>
      </c>
      <c r="E821" s="18">
        <f>1.097-0.543</f>
        <v>0.55399999999999994</v>
      </c>
    </row>
    <row r="822" spans="1:5" ht="34">
      <c r="A822" s="1" t="s">
        <v>64</v>
      </c>
      <c r="B822" s="12" t="s">
        <v>7</v>
      </c>
      <c r="C822" s="32" t="s">
        <v>728</v>
      </c>
      <c r="D822" s="23" t="s">
        <v>781</v>
      </c>
      <c r="E822" s="18">
        <f>8.198-1.632+(1.632)-1.652-1.71-0.042</f>
        <v>4.7940000000000005</v>
      </c>
    </row>
    <row r="823" spans="1:5" ht="34">
      <c r="A823" s="1" t="s">
        <v>64</v>
      </c>
      <c r="B823" s="12" t="s">
        <v>7</v>
      </c>
      <c r="C823" s="32" t="s">
        <v>716</v>
      </c>
      <c r="D823" s="23" t="s">
        <v>780</v>
      </c>
      <c r="E823" s="18">
        <f>18.04-1.386-1.386-1.39-2.754-1.4-1.381+(1.381)-1.386-1.388-1.389-1.379-1.383-1.385-(0.019)-0.71-0.122-0.237-0.148</f>
        <v>0.17800000000000052</v>
      </c>
    </row>
    <row r="824" spans="1:5" ht="34">
      <c r="A824" s="1" t="s">
        <v>64</v>
      </c>
      <c r="B824" s="12" t="s">
        <v>7</v>
      </c>
      <c r="C824" s="32" t="s">
        <v>716</v>
      </c>
      <c r="D824" s="23" t="s">
        <v>547</v>
      </c>
      <c r="E824" s="18">
        <f>1.4-0.118-0.118-(0.02)-0.48-(0.002)-0.5</f>
        <v>0.16200000000000014</v>
      </c>
    </row>
    <row r="825" spans="1:5" ht="34">
      <c r="A825" s="1" t="s">
        <v>64</v>
      </c>
      <c r="B825" s="9" t="s">
        <v>7</v>
      </c>
      <c r="C825" s="32" t="s">
        <v>716</v>
      </c>
      <c r="D825" s="23" t="s">
        <v>779</v>
      </c>
      <c r="E825" s="18">
        <f>9.71-1.389-1.38-1.388-4.13</f>
        <v>1.4230000000000018</v>
      </c>
    </row>
    <row r="826" spans="1:5" ht="34">
      <c r="A826" s="1" t="s">
        <v>64</v>
      </c>
      <c r="B826" s="12" t="s">
        <v>7</v>
      </c>
      <c r="C826" s="32" t="s">
        <v>716</v>
      </c>
      <c r="D826" s="23" t="s">
        <v>778</v>
      </c>
      <c r="E826" s="18">
        <f>1.389-0.697-0.5</f>
        <v>0.19200000000000006</v>
      </c>
    </row>
    <row r="827" spans="1:5" ht="34">
      <c r="A827" s="1" t="s">
        <v>64</v>
      </c>
      <c r="B827" s="12" t="s">
        <v>7</v>
      </c>
      <c r="C827" s="32" t="s">
        <v>716</v>
      </c>
      <c r="D827" s="23" t="s">
        <v>549</v>
      </c>
      <c r="E827" s="18">
        <f>1.38-0.694-0.509+(0.001)</f>
        <v>0.17799999999999994</v>
      </c>
    </row>
    <row r="828" spans="1:5" ht="34">
      <c r="A828" s="1" t="s">
        <v>64</v>
      </c>
      <c r="B828" s="12" t="s">
        <v>7</v>
      </c>
      <c r="C828" s="32" t="s">
        <v>716</v>
      </c>
      <c r="D828" s="23" t="s">
        <v>777</v>
      </c>
      <c r="E828" s="18">
        <f>1.388-0.696</f>
        <v>0.69199999999999995</v>
      </c>
    </row>
    <row r="829" spans="1:5" ht="34">
      <c r="A829" s="1" t="s">
        <v>64</v>
      </c>
      <c r="B829" s="12" t="s">
        <v>7</v>
      </c>
      <c r="C829" s="32" t="s">
        <v>716</v>
      </c>
      <c r="D829" s="23" t="s">
        <v>180</v>
      </c>
      <c r="E829" s="18">
        <f>2.795-1.396</f>
        <v>1.399</v>
      </c>
    </row>
    <row r="830" spans="1:5" ht="34">
      <c r="A830" s="1" t="s">
        <v>64</v>
      </c>
      <c r="B830" s="9" t="s">
        <v>7</v>
      </c>
      <c r="C830" s="32" t="s">
        <v>728</v>
      </c>
      <c r="D830" s="23" t="s">
        <v>776</v>
      </c>
      <c r="E830" s="18">
        <f>9.566-0.802-0.404-0.804-0.394-0.41-6</f>
        <v>0.75200000000000067</v>
      </c>
    </row>
    <row r="831" spans="1:5" ht="34">
      <c r="A831" s="1" t="s">
        <v>64</v>
      </c>
      <c r="B831" s="12" t="s">
        <v>7</v>
      </c>
      <c r="C831" s="32" t="s">
        <v>716</v>
      </c>
      <c r="D831" s="27" t="s">
        <v>775</v>
      </c>
      <c r="E831" s="18">
        <f>1.56-0.258-0.516</f>
        <v>0.78600000000000003</v>
      </c>
    </row>
    <row r="832" spans="1:5" ht="34">
      <c r="A832" s="1" t="s">
        <v>64</v>
      </c>
      <c r="B832" s="12" t="s">
        <v>7</v>
      </c>
      <c r="C832" s="32" t="s">
        <v>716</v>
      </c>
      <c r="D832" s="27" t="s">
        <v>774</v>
      </c>
      <c r="E832" s="18">
        <f>4.545-1.521-1.51</f>
        <v>1.514</v>
      </c>
    </row>
    <row r="833" spans="1:5" ht="34">
      <c r="A833" s="1" t="s">
        <v>64</v>
      </c>
      <c r="B833" s="12" t="s">
        <v>7</v>
      </c>
      <c r="C833" s="32" t="s">
        <v>716</v>
      </c>
      <c r="D833" s="27" t="s">
        <v>773</v>
      </c>
      <c r="E833" s="18">
        <f>1.521-0.538-0.134-(0.001)</f>
        <v>0.84799999999999986</v>
      </c>
    </row>
    <row r="834" spans="1:5" ht="34">
      <c r="A834" s="1" t="s">
        <v>64</v>
      </c>
      <c r="B834" s="12" t="s">
        <v>7</v>
      </c>
      <c r="C834" s="32" t="s">
        <v>716</v>
      </c>
      <c r="D834" s="27" t="s">
        <v>772</v>
      </c>
      <c r="E834" s="18">
        <f>1.51-0.533</f>
        <v>0.97699999999999998</v>
      </c>
    </row>
    <row r="835" spans="1:5" ht="34">
      <c r="A835" s="1" t="s">
        <v>64</v>
      </c>
      <c r="B835" s="12" t="s">
        <v>7</v>
      </c>
      <c r="C835" s="32" t="s">
        <v>716</v>
      </c>
      <c r="D835" s="23" t="s">
        <v>771</v>
      </c>
      <c r="E835" s="18">
        <f>1.65-0.206-0.134-0.588-(0.004)-0.297-(0.001)-0.236-0.061-(0.003)</f>
        <v>0.12000000000000011</v>
      </c>
    </row>
    <row r="836" spans="1:5" ht="34">
      <c r="A836" s="1" t="s">
        <v>64</v>
      </c>
      <c r="B836" s="9" t="s">
        <v>7</v>
      </c>
      <c r="C836" s="32" t="s">
        <v>716</v>
      </c>
      <c r="D836" s="23" t="s">
        <v>650</v>
      </c>
      <c r="E836" s="18">
        <f>5.06-1.68-1.67</f>
        <v>1.71</v>
      </c>
    </row>
    <row r="837" spans="1:5" ht="34">
      <c r="A837" s="1" t="s">
        <v>64</v>
      </c>
      <c r="B837" s="9" t="s">
        <v>7</v>
      </c>
      <c r="C837" s="32" t="s">
        <v>716</v>
      </c>
      <c r="D837" s="23" t="s">
        <v>770</v>
      </c>
      <c r="E837" s="18">
        <f>1.68-0.184</f>
        <v>1.496</v>
      </c>
    </row>
    <row r="838" spans="1:5" ht="34">
      <c r="A838" s="1" t="s">
        <v>64</v>
      </c>
      <c r="B838" s="9" t="s">
        <v>7</v>
      </c>
      <c r="C838" s="32" t="s">
        <v>728</v>
      </c>
      <c r="D838" s="23" t="s">
        <v>769</v>
      </c>
      <c r="E838" s="18">
        <f>4.09-1.034-0.53-0.44-0.536-0.55</f>
        <v>0.99999999999999978</v>
      </c>
    </row>
    <row r="839" spans="1:5" ht="34">
      <c r="A839" s="1" t="s">
        <v>64</v>
      </c>
      <c r="B839" s="9" t="s">
        <v>7</v>
      </c>
      <c r="C839" s="32" t="s">
        <v>716</v>
      </c>
      <c r="D839" s="23" t="s">
        <v>768</v>
      </c>
      <c r="E839" s="18">
        <f>6.59-1.666-1.665-1.636-0.728-(0.021)-0.293-0.186-(0.002)</f>
        <v>0.39299999999999952</v>
      </c>
    </row>
    <row r="840" spans="1:5" ht="34">
      <c r="A840" s="1" t="s">
        <v>64</v>
      </c>
      <c r="B840" s="9" t="s">
        <v>7</v>
      </c>
      <c r="C840" s="32" t="s">
        <v>716</v>
      </c>
      <c r="D840" s="23" t="s">
        <v>767</v>
      </c>
      <c r="E840" s="18">
        <f>1.665-0.271-0.368-0.513-0.094-0.052-(0.013)-0.219-(0.001)</f>
        <v>0.13400000000000026</v>
      </c>
    </row>
    <row r="841" spans="1:5" ht="34">
      <c r="A841" s="1" t="s">
        <v>64</v>
      </c>
      <c r="B841" s="9" t="s">
        <v>7</v>
      </c>
      <c r="C841" s="32" t="s">
        <v>716</v>
      </c>
      <c r="D841" s="23" t="s">
        <v>766</v>
      </c>
      <c r="E841" s="18">
        <f>1.636-1.098-0.223-(0.001)-0.058-(0.002)</f>
        <v>0.25399999999999984</v>
      </c>
    </row>
    <row r="842" spans="1:5" ht="34">
      <c r="A842" s="1" t="s">
        <v>64</v>
      </c>
      <c r="B842" s="9" t="s">
        <v>7</v>
      </c>
      <c r="C842" s="32" t="s">
        <v>716</v>
      </c>
      <c r="D842" s="23" t="s">
        <v>765</v>
      </c>
      <c r="E842" s="18">
        <f>1.685-0.7</f>
        <v>0.9850000000000001</v>
      </c>
    </row>
    <row r="843" spans="1:5" ht="34">
      <c r="A843" s="1" t="s">
        <v>64</v>
      </c>
      <c r="B843" s="9" t="s">
        <v>7</v>
      </c>
      <c r="C843" s="32" t="s">
        <v>716</v>
      </c>
      <c r="D843" s="23" t="s">
        <v>764</v>
      </c>
      <c r="E843" s="18">
        <f>1.45-1.078+(0.001)-0.244</f>
        <v>0.12899999999999989</v>
      </c>
    </row>
    <row r="844" spans="1:5" ht="34">
      <c r="A844" s="1" t="s">
        <v>64</v>
      </c>
      <c r="B844" s="9" t="s">
        <v>7</v>
      </c>
      <c r="C844" s="32" t="s">
        <v>716</v>
      </c>
      <c r="D844" s="23" t="s">
        <v>763</v>
      </c>
      <c r="E844" s="18">
        <f>1.625-1.078+(0.001)</f>
        <v>0.54799999999999993</v>
      </c>
    </row>
    <row r="845" spans="1:5" ht="34">
      <c r="A845" s="1" t="s">
        <v>64</v>
      </c>
      <c r="B845" s="12" t="s">
        <v>7</v>
      </c>
      <c r="C845" s="32" t="s">
        <v>728</v>
      </c>
      <c r="D845" s="23" t="s">
        <v>762</v>
      </c>
      <c r="E845" s="18">
        <f>8.064-1.613-0.34-0.338-0.793-1.2</f>
        <v>3.7800000000000002</v>
      </c>
    </row>
    <row r="846" spans="1:5" ht="34">
      <c r="A846" s="1" t="s">
        <v>64</v>
      </c>
      <c r="B846" s="12" t="s">
        <v>7</v>
      </c>
      <c r="C846" s="32" t="s">
        <v>716</v>
      </c>
      <c r="D846" s="27" t="s">
        <v>761</v>
      </c>
      <c r="E846" s="18">
        <f>4.96-1.556-1.71-0.166+(0.002)-0.916-0.542</f>
        <v>7.1999999999999953E-2</v>
      </c>
    </row>
    <row r="847" spans="1:5" ht="34">
      <c r="A847" s="1" t="s">
        <v>64</v>
      </c>
      <c r="B847" s="12" t="s">
        <v>7</v>
      </c>
      <c r="C847" s="32" t="s">
        <v>728</v>
      </c>
      <c r="D847" s="23" t="s">
        <v>760</v>
      </c>
      <c r="E847" s="18">
        <f>3.914-0.77-0.06-0.776-0.796-0.294-0.484</f>
        <v>0.73399999999999976</v>
      </c>
    </row>
    <row r="848" spans="1:5" ht="34">
      <c r="A848" s="1" t="s">
        <v>64</v>
      </c>
      <c r="B848" s="12" t="s">
        <v>7</v>
      </c>
      <c r="C848" s="32" t="s">
        <v>728</v>
      </c>
      <c r="D848" s="23" t="s">
        <v>760</v>
      </c>
      <c r="E848" s="18">
        <f>3.292-0.834</f>
        <v>2.4579999999999997</v>
      </c>
    </row>
    <row r="849" spans="1:5" ht="34">
      <c r="A849" s="1" t="s">
        <v>64</v>
      </c>
      <c r="B849" s="12" t="s">
        <v>7</v>
      </c>
      <c r="C849" s="32" t="s">
        <v>716</v>
      </c>
      <c r="D849" s="28" t="s">
        <v>759</v>
      </c>
      <c r="E849" s="31">
        <f>10.22-1.724-1.694-1.696-1.704-1.694-1.11-(0.018)-0.386</f>
        <v>0.19400000000000095</v>
      </c>
    </row>
    <row r="850" spans="1:5" ht="34">
      <c r="A850" s="1" t="s">
        <v>64</v>
      </c>
      <c r="B850" s="12" t="s">
        <v>7</v>
      </c>
      <c r="C850" s="32" t="s">
        <v>716</v>
      </c>
      <c r="D850" s="28" t="s">
        <v>758</v>
      </c>
      <c r="E850" s="31">
        <f>1.724-0.444-1.12-(0.002)</f>
        <v>0.15799999999999992</v>
      </c>
    </row>
    <row r="851" spans="1:5" ht="34">
      <c r="A851" s="1" t="s">
        <v>64</v>
      </c>
      <c r="B851" s="9" t="s">
        <v>7</v>
      </c>
      <c r="C851" s="32" t="s">
        <v>716</v>
      </c>
      <c r="D851" s="28" t="s">
        <v>757</v>
      </c>
      <c r="E851" s="31">
        <f>1.694-1.336-0.132-(0.06)</f>
        <v>0.16599999999999987</v>
      </c>
    </row>
    <row r="852" spans="1:5" ht="34">
      <c r="A852" s="1" t="s">
        <v>64</v>
      </c>
      <c r="B852" s="9" t="s">
        <v>7</v>
      </c>
      <c r="C852" s="32" t="s">
        <v>716</v>
      </c>
      <c r="D852" s="28" t="s">
        <v>756</v>
      </c>
      <c r="E852" s="31">
        <f>1.694-0.512-0.066-0.332-0.338-(0.018)</f>
        <v>0.42799999999999977</v>
      </c>
    </row>
    <row r="853" spans="1:5" ht="34">
      <c r="A853" s="1" t="s">
        <v>64</v>
      </c>
      <c r="B853" s="9" t="s">
        <v>7</v>
      </c>
      <c r="C853" s="32" t="s">
        <v>716</v>
      </c>
      <c r="D853" s="28" t="s">
        <v>755</v>
      </c>
      <c r="E853" s="31">
        <f>1.66-0.646-(0.008)</f>
        <v>1.0059999999999998</v>
      </c>
    </row>
    <row r="854" spans="1:5" ht="34">
      <c r="A854" s="1" t="s">
        <v>64</v>
      </c>
      <c r="B854" s="9" t="s">
        <v>7</v>
      </c>
      <c r="C854" s="32" t="s">
        <v>716</v>
      </c>
      <c r="D854" s="28" t="s">
        <v>754</v>
      </c>
      <c r="E854" s="31">
        <f>1.66-1.5</f>
        <v>0.15999999999999992</v>
      </c>
    </row>
    <row r="855" spans="1:5" ht="34">
      <c r="A855" s="1" t="s">
        <v>64</v>
      </c>
      <c r="B855" s="9" t="s">
        <v>7</v>
      </c>
      <c r="C855" s="32" t="s">
        <v>716</v>
      </c>
      <c r="D855" s="28" t="s">
        <v>753</v>
      </c>
      <c r="E855" s="31">
        <f>5.46-1.774-1.77</f>
        <v>1.9159999999999999</v>
      </c>
    </row>
    <row r="856" spans="1:5" ht="34">
      <c r="A856" s="1" t="s">
        <v>64</v>
      </c>
      <c r="B856" s="9" t="s">
        <v>7</v>
      </c>
      <c r="C856" s="32" t="s">
        <v>716</v>
      </c>
      <c r="D856" s="28" t="s">
        <v>752</v>
      </c>
      <c r="E856" s="31">
        <f>1.774-0.988</f>
        <v>0.78600000000000003</v>
      </c>
    </row>
    <row r="857" spans="1:5" ht="34">
      <c r="A857" s="1" t="s">
        <v>64</v>
      </c>
      <c r="B857" s="9" t="s">
        <v>7</v>
      </c>
      <c r="C857" s="32" t="s">
        <v>716</v>
      </c>
      <c r="D857" s="28" t="s">
        <v>751</v>
      </c>
      <c r="E857" s="31">
        <f>1.77-1.5</f>
        <v>0.27</v>
      </c>
    </row>
    <row r="858" spans="1:5" ht="34">
      <c r="A858" s="1" t="s">
        <v>64</v>
      </c>
      <c r="B858" s="9" t="s">
        <v>7</v>
      </c>
      <c r="C858" s="32" t="s">
        <v>728</v>
      </c>
      <c r="D858" s="23" t="s">
        <v>750</v>
      </c>
      <c r="E858" s="18">
        <f>0.242-0.104</f>
        <v>0.13800000000000001</v>
      </c>
    </row>
    <row r="859" spans="1:5" ht="34">
      <c r="A859" s="1" t="s">
        <v>64</v>
      </c>
      <c r="B859" s="9" t="s">
        <v>7</v>
      </c>
      <c r="C859" s="32" t="s">
        <v>728</v>
      </c>
      <c r="D859" s="23" t="s">
        <v>749</v>
      </c>
      <c r="E859" s="18">
        <f>4.726-0.366-0.018-0.037</f>
        <v>4.3050000000000006</v>
      </c>
    </row>
    <row r="860" spans="1:5" ht="34">
      <c r="A860" s="1" t="s">
        <v>64</v>
      </c>
      <c r="B860" s="9" t="s">
        <v>7</v>
      </c>
      <c r="C860" s="28" t="s">
        <v>733</v>
      </c>
      <c r="D860" s="23" t="s">
        <v>749</v>
      </c>
      <c r="E860" s="18">
        <f>5.196-4.078</f>
        <v>1.1179999999999994</v>
      </c>
    </row>
    <row r="861" spans="1:5" ht="34">
      <c r="A861" s="1" t="s">
        <v>64</v>
      </c>
      <c r="B861" s="9" t="s">
        <v>7</v>
      </c>
      <c r="C861" s="32" t="s">
        <v>728</v>
      </c>
      <c r="D861" s="23" t="s">
        <v>749</v>
      </c>
      <c r="E861" s="18">
        <f>3.224-1.5</f>
        <v>1.7240000000000002</v>
      </c>
    </row>
    <row r="862" spans="1:5" ht="34">
      <c r="A862" s="1" t="s">
        <v>64</v>
      </c>
      <c r="B862" s="9" t="s">
        <v>7</v>
      </c>
      <c r="C862" s="28" t="s">
        <v>716</v>
      </c>
      <c r="D862" s="27" t="s">
        <v>748</v>
      </c>
      <c r="E862" s="18">
        <f>1.81-1.226-(0.014)-0.288-(0.02)</f>
        <v>0.26200000000000007</v>
      </c>
    </row>
    <row r="863" spans="1:5" ht="34">
      <c r="A863" s="1" t="s">
        <v>64</v>
      </c>
      <c r="B863" s="9" t="s">
        <v>7</v>
      </c>
      <c r="C863" s="28" t="s">
        <v>716</v>
      </c>
      <c r="D863" s="27" t="s">
        <v>746</v>
      </c>
      <c r="E863" s="18">
        <f>3.55-1.728-1.41-(0.012)-0.144-(0.001)</f>
        <v>0.25499999999999989</v>
      </c>
    </row>
    <row r="864" spans="1:5" ht="34">
      <c r="A864" s="1" t="s">
        <v>64</v>
      </c>
      <c r="B864" s="9" t="s">
        <v>7</v>
      </c>
      <c r="C864" s="28" t="s">
        <v>716</v>
      </c>
      <c r="D864" s="27" t="s">
        <v>747</v>
      </c>
      <c r="E864" s="18">
        <f>1.78-0.91-(0.016)-0.464-(0.002)-0.164-(0.03)</f>
        <v>0.19399999999999995</v>
      </c>
    </row>
    <row r="865" spans="1:5" ht="34">
      <c r="A865" s="1" t="s">
        <v>64</v>
      </c>
      <c r="B865" s="9" t="s">
        <v>7</v>
      </c>
      <c r="C865" s="28" t="s">
        <v>716</v>
      </c>
      <c r="D865" s="27" t="s">
        <v>746</v>
      </c>
      <c r="E865" s="18">
        <f>11.1-3.699-1.818-1.836-1.817-(0.1)-1.404-(0.017)-0.146-(0.002)</f>
        <v>0.2609999999999999</v>
      </c>
    </row>
    <row r="866" spans="1:5" ht="34">
      <c r="A866" s="1" t="s">
        <v>64</v>
      </c>
      <c r="B866" s="9" t="s">
        <v>7</v>
      </c>
      <c r="C866" s="28" t="s">
        <v>719</v>
      </c>
      <c r="D866" s="27" t="s">
        <v>745</v>
      </c>
      <c r="E866" s="18">
        <f>1.83-1.228-(0.002)-0.222-0.15-(0.004)</f>
        <v>0.22400000000000012</v>
      </c>
    </row>
    <row r="867" spans="1:5" ht="34">
      <c r="A867" s="1" t="s">
        <v>64</v>
      </c>
      <c r="B867" s="9" t="s">
        <v>7</v>
      </c>
      <c r="C867" s="28" t="s">
        <v>723</v>
      </c>
      <c r="D867" s="27" t="s">
        <v>744</v>
      </c>
      <c r="E867" s="18">
        <f>5.32-1.83</f>
        <v>3.49</v>
      </c>
    </row>
    <row r="868" spans="1:5" ht="34">
      <c r="A868" s="1" t="s">
        <v>64</v>
      </c>
      <c r="B868" s="9" t="s">
        <v>7</v>
      </c>
      <c r="C868" s="28" t="s">
        <v>723</v>
      </c>
      <c r="D868" s="27" t="s">
        <v>743</v>
      </c>
      <c r="E868" s="18">
        <f>1.83-0.106-1.026-(0.006)</f>
        <v>0.69199999999999995</v>
      </c>
    </row>
    <row r="869" spans="1:5" ht="34">
      <c r="A869" s="1" t="s">
        <v>64</v>
      </c>
      <c r="B869" s="9" t="s">
        <v>7</v>
      </c>
      <c r="C869" s="28" t="s">
        <v>742</v>
      </c>
      <c r="D869" s="27" t="s">
        <v>741</v>
      </c>
      <c r="E869" s="29">
        <f>1.302-0.42-0.157-0.409-0.044-0.102-0.09-0.008</f>
        <v>7.2000000000000147E-2</v>
      </c>
    </row>
    <row r="870" spans="1:5" ht="34">
      <c r="A870" s="1" t="s">
        <v>64</v>
      </c>
      <c r="B870" s="12" t="s">
        <v>7</v>
      </c>
      <c r="C870" s="28" t="s">
        <v>733</v>
      </c>
      <c r="D870" s="27" t="s">
        <v>740</v>
      </c>
      <c r="E870" s="18">
        <f>7.984-0.93</f>
        <v>7.0540000000000003</v>
      </c>
    </row>
    <row r="871" spans="1:5" ht="34">
      <c r="A871" s="1" t="s">
        <v>64</v>
      </c>
      <c r="B871" s="12" t="s">
        <v>7</v>
      </c>
      <c r="C871" s="32" t="s">
        <v>716</v>
      </c>
      <c r="D871" s="27" t="s">
        <v>739</v>
      </c>
      <c r="E871" s="18">
        <f>5.37-3.466-1.126-(0.166)-0.344-(0.004)</f>
        <v>0.26400000000000001</v>
      </c>
    </row>
    <row r="872" spans="1:5" ht="34">
      <c r="A872" s="1" t="s">
        <v>64</v>
      </c>
      <c r="B872" s="12" t="s">
        <v>7</v>
      </c>
      <c r="C872" s="32" t="s">
        <v>716</v>
      </c>
      <c r="D872" s="27" t="s">
        <v>738</v>
      </c>
      <c r="E872" s="18">
        <f>5.55-1.762-1.815-0.565-(0.186)-0.076-(0.014)-0.286+(0.002)</f>
        <v>0.84799999999999986</v>
      </c>
    </row>
    <row r="873" spans="1:5" ht="34">
      <c r="A873" s="1" t="s">
        <v>64</v>
      </c>
      <c r="B873" s="12" t="s">
        <v>7</v>
      </c>
      <c r="C873" s="32" t="s">
        <v>716</v>
      </c>
      <c r="D873" s="27" t="s">
        <v>737</v>
      </c>
      <c r="E873" s="18">
        <f>1.815-1.136-0.288-(0.003)</f>
        <v>0.38800000000000007</v>
      </c>
    </row>
    <row r="874" spans="1:5" ht="34">
      <c r="A874" s="1" t="s">
        <v>64</v>
      </c>
      <c r="B874" s="12" t="s">
        <v>7</v>
      </c>
      <c r="C874" s="32" t="s">
        <v>716</v>
      </c>
      <c r="D874" s="27" t="s">
        <v>736</v>
      </c>
      <c r="E874" s="18">
        <f>1.798-0.206-0.094-0.83-(0.018)-0.192-(0.032)-0.28</f>
        <v>0.14600000000000002</v>
      </c>
    </row>
    <row r="875" spans="1:5" ht="34">
      <c r="A875" s="1" t="s">
        <v>64</v>
      </c>
      <c r="B875" s="12" t="s">
        <v>7</v>
      </c>
      <c r="C875" s="32" t="s">
        <v>716</v>
      </c>
      <c r="D875" s="27" t="s">
        <v>630</v>
      </c>
      <c r="E875" s="18">
        <f>6.835-1.701-1.744-1.8</f>
        <v>1.5900000000000005</v>
      </c>
    </row>
    <row r="876" spans="1:5" ht="34">
      <c r="A876" s="1" t="s">
        <v>64</v>
      </c>
      <c r="B876" s="12" t="s">
        <v>7</v>
      </c>
      <c r="C876" s="32" t="s">
        <v>716</v>
      </c>
      <c r="D876" s="27" t="s">
        <v>735</v>
      </c>
      <c r="E876" s="18">
        <f>1.701-0.99</f>
        <v>0.71100000000000008</v>
      </c>
    </row>
    <row r="877" spans="1:5" ht="34">
      <c r="A877" s="1" t="s">
        <v>64</v>
      </c>
      <c r="B877" s="12" t="s">
        <v>7</v>
      </c>
      <c r="C877" s="32" t="s">
        <v>716</v>
      </c>
      <c r="D877" s="27" t="s">
        <v>734</v>
      </c>
      <c r="E877" s="18">
        <f>5.43</f>
        <v>5.43</v>
      </c>
    </row>
    <row r="878" spans="1:5" ht="34">
      <c r="A878" s="1" t="s">
        <v>64</v>
      </c>
      <c r="B878" s="12" t="s">
        <v>7</v>
      </c>
      <c r="C878" s="28" t="s">
        <v>733</v>
      </c>
      <c r="D878" s="27" t="s">
        <v>702</v>
      </c>
      <c r="E878" s="18">
        <f>7.773-0.29</f>
        <v>7.4829999999999997</v>
      </c>
    </row>
    <row r="879" spans="1:5" ht="34">
      <c r="A879" s="1" t="s">
        <v>64</v>
      </c>
      <c r="B879" s="12" t="s">
        <v>7</v>
      </c>
      <c r="C879" s="32" t="s">
        <v>716</v>
      </c>
      <c r="D879" s="27" t="s">
        <v>732</v>
      </c>
      <c r="E879" s="18">
        <f>1.756-1.072-0.138-(0.006)-0.07</f>
        <v>0.46999999999999992</v>
      </c>
    </row>
    <row r="880" spans="1:5" ht="34">
      <c r="A880" s="1" t="s">
        <v>64</v>
      </c>
      <c r="B880" s="12" t="s">
        <v>7</v>
      </c>
      <c r="C880" s="32" t="s">
        <v>716</v>
      </c>
      <c r="D880" s="27" t="s">
        <v>627</v>
      </c>
      <c r="E880" s="18">
        <f>3.67-1.801-(0.034)</f>
        <v>1.835</v>
      </c>
    </row>
    <row r="881" spans="1:5" ht="34">
      <c r="A881" s="1" t="s">
        <v>64</v>
      </c>
      <c r="B881" s="12" t="s">
        <v>7</v>
      </c>
      <c r="C881" s="32" t="s">
        <v>716</v>
      </c>
      <c r="D881" s="27" t="s">
        <v>731</v>
      </c>
      <c r="E881" s="18">
        <f>1.801-1.048-0.269-(0.002)</f>
        <v>0.48199999999999987</v>
      </c>
    </row>
    <row r="882" spans="1:5" ht="34">
      <c r="A882" s="1" t="s">
        <v>64</v>
      </c>
      <c r="B882" s="12" t="s">
        <v>7</v>
      </c>
      <c r="C882" s="32" t="s">
        <v>716</v>
      </c>
      <c r="D882" s="27" t="s">
        <v>730</v>
      </c>
      <c r="E882" s="18">
        <f>1.81-0.796-(0.004)-0.587-(0.003)</f>
        <v>0.42000000000000004</v>
      </c>
    </row>
    <row r="883" spans="1:5" ht="34">
      <c r="A883" s="1" t="s">
        <v>64</v>
      </c>
      <c r="B883" s="12" t="s">
        <v>7</v>
      </c>
      <c r="C883" s="28" t="s">
        <v>729</v>
      </c>
      <c r="D883" s="27" t="s">
        <v>703</v>
      </c>
      <c r="E883" s="29">
        <f>4.52-0.16-0.524-0.052-2.296-0.404</f>
        <v>1.0839999999999996</v>
      </c>
    </row>
    <row r="884" spans="1:5" ht="34">
      <c r="A884" s="1" t="s">
        <v>64</v>
      </c>
      <c r="B884" s="12" t="s">
        <v>7</v>
      </c>
      <c r="C884" s="28" t="s">
        <v>729</v>
      </c>
      <c r="D884" s="27" t="s">
        <v>703</v>
      </c>
      <c r="E884" s="29">
        <f>1.51-1.114</f>
        <v>0.39599999999999991</v>
      </c>
    </row>
    <row r="885" spans="1:5" ht="34">
      <c r="A885" s="1" t="s">
        <v>64</v>
      </c>
      <c r="B885" s="9" t="s">
        <v>7</v>
      </c>
      <c r="C885" s="28" t="s">
        <v>728</v>
      </c>
      <c r="D885" s="27" t="s">
        <v>703</v>
      </c>
      <c r="E885" s="29">
        <f>1.308</f>
        <v>1.3080000000000001</v>
      </c>
    </row>
    <row r="886" spans="1:5" ht="34">
      <c r="A886" s="1" t="s">
        <v>64</v>
      </c>
      <c r="B886" s="12" t="s">
        <v>7</v>
      </c>
      <c r="C886" s="32" t="s">
        <v>727</v>
      </c>
      <c r="D886" s="27" t="s">
        <v>726</v>
      </c>
      <c r="E886" s="18">
        <f>5.48-1.84-1.82-0.44-0.026-0.76-0.165-0.322-0.005</f>
        <v>0.10200000000000048</v>
      </c>
    </row>
    <row r="887" spans="1:5" ht="34">
      <c r="A887" s="1" t="s">
        <v>64</v>
      </c>
      <c r="B887" s="12" t="s">
        <v>7</v>
      </c>
      <c r="C887" s="32" t="s">
        <v>723</v>
      </c>
      <c r="D887" s="27" t="s">
        <v>725</v>
      </c>
      <c r="E887" s="18">
        <f>1.823-0.543-0.554-(0.006)</f>
        <v>0.71999999999999975</v>
      </c>
    </row>
    <row r="888" spans="1:5" ht="34">
      <c r="A888" s="1" t="s">
        <v>64</v>
      </c>
      <c r="B888" s="12" t="s">
        <v>7</v>
      </c>
      <c r="C888" s="32" t="s">
        <v>716</v>
      </c>
      <c r="D888" s="27" t="s">
        <v>724</v>
      </c>
      <c r="E888" s="18">
        <f>5.55-1.834-1.812-0.866-(0.082)-0.726-(0.004)</f>
        <v>0.22599999999999987</v>
      </c>
    </row>
    <row r="889" spans="1:5" ht="34">
      <c r="A889" s="1" t="s">
        <v>64</v>
      </c>
      <c r="B889" s="12" t="s">
        <v>7</v>
      </c>
      <c r="C889" s="32" t="s">
        <v>716</v>
      </c>
      <c r="D889" s="27" t="s">
        <v>624</v>
      </c>
      <c r="E889" s="18">
        <f>5.41</f>
        <v>5.41</v>
      </c>
    </row>
    <row r="890" spans="1:5" ht="34">
      <c r="A890" s="1" t="s">
        <v>64</v>
      </c>
      <c r="B890" s="12" t="s">
        <v>7</v>
      </c>
      <c r="C890" s="32" t="s">
        <v>723</v>
      </c>
      <c r="D890" s="27" t="s">
        <v>722</v>
      </c>
      <c r="E890" s="18">
        <f>3.69-1.844-0.316-(0.016)-0.916-(0.004)-0.312</f>
        <v>0.28199999999999975</v>
      </c>
    </row>
    <row r="891" spans="1:5" ht="34">
      <c r="A891" s="1" t="s">
        <v>64</v>
      </c>
      <c r="B891" s="12" t="s">
        <v>7</v>
      </c>
      <c r="C891" s="32" t="s">
        <v>716</v>
      </c>
      <c r="D891" s="27" t="s">
        <v>623</v>
      </c>
      <c r="E891" s="18">
        <f>5.52-1.81</f>
        <v>3.7099999999999995</v>
      </c>
    </row>
    <row r="892" spans="1:5" ht="34">
      <c r="A892" s="1" t="s">
        <v>64</v>
      </c>
      <c r="B892" s="12" t="s">
        <v>7</v>
      </c>
      <c r="C892" s="32" t="s">
        <v>716</v>
      </c>
      <c r="D892" s="27" t="s">
        <v>721</v>
      </c>
      <c r="E892" s="18">
        <f>1.81-0.188-0.57-(0.002)</f>
        <v>1.05</v>
      </c>
    </row>
    <row r="893" spans="1:5" ht="34">
      <c r="A893" s="1" t="s">
        <v>64</v>
      </c>
      <c r="B893" s="9" t="s">
        <v>7</v>
      </c>
      <c r="C893" s="28" t="s">
        <v>709</v>
      </c>
      <c r="D893" s="27" t="s">
        <v>720</v>
      </c>
      <c r="E893" s="29">
        <f>6.385-1.5</f>
        <v>4.8849999999999998</v>
      </c>
    </row>
    <row r="894" spans="1:5" ht="34">
      <c r="A894" s="1" t="s">
        <v>64</v>
      </c>
      <c r="B894" s="9" t="s">
        <v>7</v>
      </c>
      <c r="C894" s="32" t="s">
        <v>719</v>
      </c>
      <c r="D894" s="27" t="s">
        <v>718</v>
      </c>
      <c r="E894" s="18">
        <f>0.04</f>
        <v>0.04</v>
      </c>
    </row>
    <row r="895" spans="1:5" ht="34">
      <c r="A895" s="1" t="s">
        <v>64</v>
      </c>
      <c r="B895" s="12" t="s">
        <v>7</v>
      </c>
      <c r="C895" s="32" t="s">
        <v>716</v>
      </c>
      <c r="D895" s="27" t="s">
        <v>619</v>
      </c>
      <c r="E895" s="18">
        <f>5.45-1.766-1.822</f>
        <v>1.8620000000000001</v>
      </c>
    </row>
    <row r="896" spans="1:5" ht="34">
      <c r="A896" s="1" t="s">
        <v>64</v>
      </c>
      <c r="B896" s="9" t="s">
        <v>7</v>
      </c>
      <c r="C896" s="32" t="s">
        <v>716</v>
      </c>
      <c r="D896" s="27" t="s">
        <v>717</v>
      </c>
      <c r="E896" s="18">
        <f>1.766-0.354</f>
        <v>1.4119999999999999</v>
      </c>
    </row>
    <row r="897" spans="1:5" ht="34">
      <c r="A897" s="1" t="s">
        <v>64</v>
      </c>
      <c r="B897" s="9" t="s">
        <v>7</v>
      </c>
      <c r="C897" s="32" t="s">
        <v>716</v>
      </c>
      <c r="D897" s="27" t="s">
        <v>619</v>
      </c>
      <c r="E897" s="18">
        <f>1.83</f>
        <v>1.83</v>
      </c>
    </row>
    <row r="898" spans="1:5" ht="34">
      <c r="A898" s="1" t="s">
        <v>64</v>
      </c>
      <c r="B898" s="9" t="s">
        <v>7</v>
      </c>
      <c r="C898" s="28" t="s">
        <v>709</v>
      </c>
      <c r="D898" s="27" t="s">
        <v>715</v>
      </c>
      <c r="E898" s="29">
        <f>6.996-1.642-1.014-0.226-0.25</f>
        <v>3.8640000000000008</v>
      </c>
    </row>
    <row r="899" spans="1:5" ht="34">
      <c r="A899" s="1" t="s">
        <v>64</v>
      </c>
      <c r="B899" s="9" t="s">
        <v>7</v>
      </c>
      <c r="C899" s="32" t="s">
        <v>714</v>
      </c>
      <c r="D899" s="27" t="s">
        <v>618</v>
      </c>
      <c r="E899" s="18">
        <f>3.69-1.816</f>
        <v>1.8739999999999999</v>
      </c>
    </row>
    <row r="900" spans="1:5" ht="34">
      <c r="A900" s="1" t="s">
        <v>64</v>
      </c>
      <c r="B900" s="9" t="s">
        <v>7</v>
      </c>
      <c r="C900" s="32" t="s">
        <v>714</v>
      </c>
      <c r="D900" s="27" t="s">
        <v>713</v>
      </c>
      <c r="E900" s="18">
        <f>1.816-0.362-0.364-0.292-(0.004)</f>
        <v>0.79400000000000026</v>
      </c>
    </row>
    <row r="901" spans="1:5" ht="34">
      <c r="A901" s="1" t="s">
        <v>64</v>
      </c>
      <c r="B901" s="9" t="s">
        <v>7</v>
      </c>
      <c r="C901" s="28" t="s">
        <v>709</v>
      </c>
      <c r="D901" s="27" t="s">
        <v>707</v>
      </c>
      <c r="E901" s="29">
        <f>1.988</f>
        <v>1.988</v>
      </c>
    </row>
    <row r="902" spans="1:5" ht="34">
      <c r="A902" s="1" t="s">
        <v>64</v>
      </c>
      <c r="B902" s="9" t="s">
        <v>7</v>
      </c>
      <c r="C902" s="28" t="s">
        <v>709</v>
      </c>
      <c r="D902" s="27" t="s">
        <v>712</v>
      </c>
      <c r="E902" s="29">
        <f>2.739-0.094-0.638-0.32-0.342</f>
        <v>1.345</v>
      </c>
    </row>
    <row r="903" spans="1:5" ht="34">
      <c r="A903" s="1" t="s">
        <v>64</v>
      </c>
      <c r="B903" s="12" t="s">
        <v>7</v>
      </c>
      <c r="C903" s="28" t="s">
        <v>709</v>
      </c>
      <c r="D903" s="27" t="s">
        <v>711</v>
      </c>
      <c r="E903" s="29">
        <f>3.117</f>
        <v>3.117</v>
      </c>
    </row>
    <row r="904" spans="1:5" ht="34">
      <c r="A904" s="1" t="s">
        <v>64</v>
      </c>
      <c r="B904" s="9" t="s">
        <v>7</v>
      </c>
      <c r="C904" s="28" t="s">
        <v>709</v>
      </c>
      <c r="D904" s="27" t="s">
        <v>710</v>
      </c>
      <c r="E904" s="29">
        <f>0.578-0.524</f>
        <v>5.3999999999999937E-2</v>
      </c>
    </row>
    <row r="905" spans="1:5" ht="34">
      <c r="A905" s="1" t="s">
        <v>64</v>
      </c>
      <c r="B905" s="9" t="s">
        <v>7</v>
      </c>
      <c r="C905" s="28" t="s">
        <v>709</v>
      </c>
      <c r="D905" s="27" t="s">
        <v>708</v>
      </c>
      <c r="E905" s="29">
        <f>0.1</f>
        <v>0.1</v>
      </c>
    </row>
    <row r="906" spans="1:5" ht="34">
      <c r="A906" s="1" t="s">
        <v>64</v>
      </c>
      <c r="B906" s="9" t="s">
        <v>49</v>
      </c>
      <c r="C906" s="32" t="s">
        <v>824</v>
      </c>
      <c r="D906" s="14" t="s">
        <v>206</v>
      </c>
      <c r="E906" s="16">
        <f>4.275-0.314-0.04-0.414-0.044-0.042-0.04-0.16-0.08</f>
        <v>3.141</v>
      </c>
    </row>
    <row r="907" spans="1:5" ht="34">
      <c r="A907" s="1" t="s">
        <v>64</v>
      </c>
      <c r="B907" s="9" t="s">
        <v>49</v>
      </c>
      <c r="C907" s="32" t="s">
        <v>824</v>
      </c>
      <c r="D907" s="14" t="s">
        <v>823</v>
      </c>
      <c r="E907" s="16">
        <f>3.62-1.81-0.905-0.226-(0.001)</f>
        <v>0.67800000000000005</v>
      </c>
    </row>
    <row r="908" spans="1:5" ht="34">
      <c r="A908" s="1" t="s">
        <v>64</v>
      </c>
      <c r="B908" s="9" t="s">
        <v>17</v>
      </c>
      <c r="C908" s="32" t="s">
        <v>859</v>
      </c>
      <c r="D908" s="14" t="s">
        <v>166</v>
      </c>
      <c r="E908" s="16">
        <f>2.092-0.342-0.098-0.148-0.194-0.096-0.098-0.05-0.194-0.098-0.048-0.196-0.05-0.05-0.048-0.194-0.048-0.146+(0.006)+(0.048)</f>
        <v>4.7999999999999855E-2</v>
      </c>
    </row>
    <row r="909" spans="1:5" ht="34">
      <c r="A909" s="1" t="s">
        <v>64</v>
      </c>
      <c r="B909" s="9" t="s">
        <v>17</v>
      </c>
      <c r="C909" s="32" t="s">
        <v>833</v>
      </c>
      <c r="D909" s="14" t="s">
        <v>166</v>
      </c>
      <c r="E909" s="16">
        <f>3.65-0.492-0.053-0.05</f>
        <v>3.0550000000000002</v>
      </c>
    </row>
    <row r="910" spans="1:5" ht="34">
      <c r="A910" s="1" t="s">
        <v>64</v>
      </c>
      <c r="B910" s="9" t="s">
        <v>17</v>
      </c>
      <c r="C910" s="32" t="s">
        <v>833</v>
      </c>
      <c r="D910" s="14" t="s">
        <v>239</v>
      </c>
      <c r="E910" s="16">
        <f>4.07-0.132-0.064-0.064-0.508-0.19-0.128-0.127</f>
        <v>2.8570000000000002</v>
      </c>
    </row>
    <row r="911" spans="1:5" ht="34">
      <c r="A911" s="1" t="s">
        <v>64</v>
      </c>
      <c r="B911" s="9" t="s">
        <v>17</v>
      </c>
      <c r="C911" s="32" t="s">
        <v>857</v>
      </c>
      <c r="D911" s="14" t="s">
        <v>675</v>
      </c>
      <c r="E911" s="16">
        <f>4.24-0.358-1.082-0.36</f>
        <v>2.44</v>
      </c>
    </row>
    <row r="912" spans="1:5" ht="34">
      <c r="A912" s="1" t="s">
        <v>64</v>
      </c>
      <c r="B912" s="9" t="s">
        <v>17</v>
      </c>
      <c r="C912" s="32" t="s">
        <v>857</v>
      </c>
      <c r="D912" s="14" t="s">
        <v>858</v>
      </c>
      <c r="E912" s="16">
        <f>0.358-0.019-0.031-(0.001)-0.048-0.178-(0.001)</f>
        <v>7.999999999999996E-2</v>
      </c>
    </row>
    <row r="913" spans="1:5" ht="34">
      <c r="A913" s="1" t="s">
        <v>64</v>
      </c>
      <c r="B913" s="9" t="s">
        <v>17</v>
      </c>
      <c r="C913" s="32" t="s">
        <v>857</v>
      </c>
      <c r="D913" s="14" t="s">
        <v>324</v>
      </c>
      <c r="E913" s="16">
        <f>0.36-0.179</f>
        <v>0.18099999999999999</v>
      </c>
    </row>
    <row r="914" spans="1:5" ht="34">
      <c r="A914" s="1" t="s">
        <v>64</v>
      </c>
      <c r="B914" s="9" t="s">
        <v>17</v>
      </c>
      <c r="C914" s="32" t="s">
        <v>833</v>
      </c>
      <c r="D914" s="14" t="s">
        <v>196</v>
      </c>
      <c r="E914" s="16">
        <f>4.335-0.864-0.432-0.434</f>
        <v>2.605</v>
      </c>
    </row>
    <row r="915" spans="1:5" ht="34">
      <c r="A915" s="1" t="s">
        <v>64</v>
      </c>
      <c r="B915" s="9" t="s">
        <v>17</v>
      </c>
      <c r="C915" s="32" t="s">
        <v>833</v>
      </c>
      <c r="D915" s="14" t="s">
        <v>856</v>
      </c>
      <c r="E915" s="16">
        <f>0.434-0.218</f>
        <v>0.216</v>
      </c>
    </row>
    <row r="916" spans="1:5" ht="34">
      <c r="A916" s="1" t="s">
        <v>64</v>
      </c>
      <c r="B916" s="9" t="s">
        <v>17</v>
      </c>
      <c r="C916" s="32" t="s">
        <v>837</v>
      </c>
      <c r="D916" s="27" t="s">
        <v>685</v>
      </c>
      <c r="E916" s="18">
        <f>7.2-0.102-0.136-0.068-1.412-0.064-0.075-0.104-0.05</f>
        <v>5.1890000000000001</v>
      </c>
    </row>
    <row r="917" spans="1:5" ht="34">
      <c r="A917" s="1" t="s">
        <v>64</v>
      </c>
      <c r="B917" s="9" t="s">
        <v>17</v>
      </c>
      <c r="C917" s="32" t="s">
        <v>833</v>
      </c>
      <c r="D917" s="14" t="s">
        <v>190</v>
      </c>
      <c r="E917" s="16">
        <f>2.275-0.576</f>
        <v>1.6989999999999998</v>
      </c>
    </row>
    <row r="918" spans="1:5" ht="34">
      <c r="A918" s="1" t="s">
        <v>64</v>
      </c>
      <c r="B918" s="9" t="s">
        <v>17</v>
      </c>
      <c r="C918" s="32" t="s">
        <v>833</v>
      </c>
      <c r="D918" s="14" t="s">
        <v>855</v>
      </c>
      <c r="E918" s="16">
        <f>0.576-0.049-0.068-(0.001)-0.025-(0.001)-0.024-0.025-(0.001)-0.04-(0.001)</f>
        <v>0.34099999999999986</v>
      </c>
    </row>
    <row r="919" spans="1:5" ht="34">
      <c r="A919" s="1" t="s">
        <v>64</v>
      </c>
      <c r="B919" s="9" t="s">
        <v>17</v>
      </c>
      <c r="C919" s="32" t="s">
        <v>833</v>
      </c>
      <c r="D919" s="14" t="s">
        <v>854</v>
      </c>
      <c r="E919" s="16">
        <f>1.57</f>
        <v>1.57</v>
      </c>
    </row>
    <row r="920" spans="1:5" ht="34">
      <c r="A920" s="1" t="s">
        <v>64</v>
      </c>
      <c r="B920" s="9" t="s">
        <v>17</v>
      </c>
      <c r="C920" s="32" t="s">
        <v>837</v>
      </c>
      <c r="D920" s="27" t="s">
        <v>687</v>
      </c>
      <c r="E920" s="18">
        <f>1.71-0.144-0.09-0.074-0.09-0.965-0.135-0.176</f>
        <v>3.5999999999999865E-2</v>
      </c>
    </row>
    <row r="921" spans="1:5" ht="34">
      <c r="A921" s="1" t="s">
        <v>64</v>
      </c>
      <c r="B921" s="9" t="s">
        <v>17</v>
      </c>
      <c r="C921" s="32" t="s">
        <v>837</v>
      </c>
      <c r="D921" s="27" t="s">
        <v>687</v>
      </c>
      <c r="E921" s="18">
        <f>5.08-0.102-0.112-0.08-0.334-0.026-0.08-1.502-0.076-0.338-0.162-0.028-0.058-0.054-0.016-0.118-0.106-0.054-0.5-0.12</f>
        <v>1.2140000000000004</v>
      </c>
    </row>
    <row r="922" spans="1:5" ht="34">
      <c r="A922" s="1" t="s">
        <v>64</v>
      </c>
      <c r="B922" s="9" t="s">
        <v>17</v>
      </c>
      <c r="C922" s="32" t="s">
        <v>837</v>
      </c>
      <c r="D922" s="27" t="s">
        <v>687</v>
      </c>
      <c r="E922" s="18">
        <f>1.59</f>
        <v>1.59</v>
      </c>
    </row>
    <row r="923" spans="1:5" ht="34">
      <c r="A923" s="1" t="s">
        <v>64</v>
      </c>
      <c r="B923" s="9" t="s">
        <v>17</v>
      </c>
      <c r="C923" s="32" t="s">
        <v>837</v>
      </c>
      <c r="D923" s="27" t="s">
        <v>687</v>
      </c>
      <c r="E923" s="18">
        <f>5.696-0.75</f>
        <v>4.9459999999999997</v>
      </c>
    </row>
    <row r="924" spans="1:5" ht="34">
      <c r="A924" s="1" t="s">
        <v>64</v>
      </c>
      <c r="B924" s="9" t="s">
        <v>17</v>
      </c>
      <c r="C924" s="32" t="s">
        <v>830</v>
      </c>
      <c r="D924" s="27" t="s">
        <v>188</v>
      </c>
      <c r="E924" s="18">
        <f>4.29-0.72-0.719-0.714</f>
        <v>2.1370000000000005</v>
      </c>
    </row>
    <row r="925" spans="1:5" ht="34">
      <c r="A925" s="1" t="s">
        <v>64</v>
      </c>
      <c r="B925" s="9" t="s">
        <v>17</v>
      </c>
      <c r="C925" s="32" t="s">
        <v>830</v>
      </c>
      <c r="D925" s="27" t="s">
        <v>853</v>
      </c>
      <c r="E925" s="18">
        <f>0.719-0.085-0.493-0.085</f>
        <v>5.6000000000000008E-2</v>
      </c>
    </row>
    <row r="926" spans="1:5" ht="34">
      <c r="A926" s="1" t="s">
        <v>64</v>
      </c>
      <c r="B926" s="9" t="s">
        <v>17</v>
      </c>
      <c r="C926" s="32" t="s">
        <v>830</v>
      </c>
      <c r="D926" s="27" t="s">
        <v>852</v>
      </c>
      <c r="E926" s="18">
        <f>0.714-0.119-0.121-(0.001)-0.04-(0.003)</f>
        <v>0.43</v>
      </c>
    </row>
    <row r="927" spans="1:5" ht="34">
      <c r="A927" s="1" t="s">
        <v>64</v>
      </c>
      <c r="B927" s="9" t="s">
        <v>17</v>
      </c>
      <c r="C927" s="32" t="s">
        <v>837</v>
      </c>
      <c r="D927" s="27" t="s">
        <v>691</v>
      </c>
      <c r="E927" s="18">
        <f>1.676-0.098-0.016-0.1-0.05-0.03-0.1-0.086-0.116-0.066-0.096-0.074-0.25</f>
        <v>0.59399999999999942</v>
      </c>
    </row>
    <row r="928" spans="1:5" ht="34">
      <c r="A928" s="1" t="s">
        <v>64</v>
      </c>
      <c r="B928" s="9" t="s">
        <v>17</v>
      </c>
      <c r="C928" s="32" t="s">
        <v>837</v>
      </c>
      <c r="D928" s="27" t="s">
        <v>691</v>
      </c>
      <c r="E928" s="18">
        <f>5.686-1.04-0.308</f>
        <v>4.3380000000000001</v>
      </c>
    </row>
    <row r="929" spans="1:5" ht="34">
      <c r="A929" s="1" t="s">
        <v>64</v>
      </c>
      <c r="B929" s="9" t="s">
        <v>17</v>
      </c>
      <c r="C929" s="32" t="s">
        <v>830</v>
      </c>
      <c r="D929" s="14" t="s">
        <v>185</v>
      </c>
      <c r="E929" s="16">
        <f>4.4-0.875-0.883</f>
        <v>2.6420000000000003</v>
      </c>
    </row>
    <row r="930" spans="1:5" ht="34">
      <c r="A930" s="1" t="s">
        <v>64</v>
      </c>
      <c r="B930" s="9" t="s">
        <v>17</v>
      </c>
      <c r="C930" s="32" t="s">
        <v>830</v>
      </c>
      <c r="D930" s="14" t="s">
        <v>851</v>
      </c>
      <c r="E930" s="16">
        <f>0.883-0.074-0.038-0.148-(0.001)</f>
        <v>0.622</v>
      </c>
    </row>
    <row r="931" spans="1:5" ht="34">
      <c r="A931" s="1" t="s">
        <v>64</v>
      </c>
      <c r="B931" s="10" t="s">
        <v>17</v>
      </c>
      <c r="C931" s="32" t="s">
        <v>837</v>
      </c>
      <c r="D931" s="27" t="s">
        <v>850</v>
      </c>
      <c r="E931" s="18">
        <f>3.844-0.9-0.224</f>
        <v>2.7199999999999998</v>
      </c>
    </row>
    <row r="932" spans="1:5" ht="34">
      <c r="A932" s="1" t="s">
        <v>64</v>
      </c>
      <c r="B932" s="10" t="s">
        <v>17</v>
      </c>
      <c r="C932" s="32" t="s">
        <v>830</v>
      </c>
      <c r="D932" s="27" t="s">
        <v>218</v>
      </c>
      <c r="E932" s="18">
        <f>2.04</f>
        <v>2.04</v>
      </c>
    </row>
    <row r="933" spans="1:5" ht="34">
      <c r="A933" s="1" t="s">
        <v>64</v>
      </c>
      <c r="B933" s="10" t="s">
        <v>17</v>
      </c>
      <c r="C933" s="32" t="s">
        <v>830</v>
      </c>
      <c r="D933" s="27" t="s">
        <v>218</v>
      </c>
      <c r="E933" s="18">
        <f>1.995</f>
        <v>1.9950000000000001</v>
      </c>
    </row>
    <row r="934" spans="1:5" ht="34">
      <c r="A934" s="1" t="s">
        <v>64</v>
      </c>
      <c r="B934" s="9" t="s">
        <v>17</v>
      </c>
      <c r="C934" s="32" t="s">
        <v>837</v>
      </c>
      <c r="D934" s="27" t="s">
        <v>692</v>
      </c>
      <c r="E934" s="18">
        <f>2.798-0.713-0.652-0.096-0.134-0.134-0.094-0.178-0.036-0.132-0.23-0.052-0.108-0.062-0.136</f>
        <v>4.0999999999999925E-2</v>
      </c>
    </row>
    <row r="935" spans="1:5" ht="34">
      <c r="A935" s="1" t="s">
        <v>64</v>
      </c>
      <c r="B935" s="9" t="s">
        <v>17</v>
      </c>
      <c r="C935" s="32" t="s">
        <v>837</v>
      </c>
      <c r="D935" s="27" t="s">
        <v>692</v>
      </c>
      <c r="E935" s="18">
        <f>2.266-0.658-0.188-0.964-0.33</f>
        <v>0.12600000000000017</v>
      </c>
    </row>
    <row r="936" spans="1:5" ht="34">
      <c r="A936" s="1" t="s">
        <v>64</v>
      </c>
      <c r="B936" s="9" t="s">
        <v>17</v>
      </c>
      <c r="C936" s="32" t="s">
        <v>830</v>
      </c>
      <c r="D936" s="27" t="s">
        <v>184</v>
      </c>
      <c r="E936" s="18">
        <f>4.515-1.127-1.122</f>
        <v>2.266</v>
      </c>
    </row>
    <row r="937" spans="1:5" ht="34">
      <c r="A937" s="1" t="s">
        <v>64</v>
      </c>
      <c r="B937" s="10" t="s">
        <v>17</v>
      </c>
      <c r="C937" s="32" t="s">
        <v>830</v>
      </c>
      <c r="D937" s="27" t="s">
        <v>849</v>
      </c>
      <c r="E937" s="18">
        <f>1.127-0.133-0.169-(0.001)-0.049-(0.001)-0.09-0.104-0.189-0.048-(0.005)-0.138-(0.002)</f>
        <v>0.19799999999999995</v>
      </c>
    </row>
    <row r="938" spans="1:5" ht="34">
      <c r="A938" s="1" t="s">
        <v>64</v>
      </c>
      <c r="B938" s="9" t="s">
        <v>17</v>
      </c>
      <c r="C938" s="32" t="s">
        <v>830</v>
      </c>
      <c r="D938" s="27" t="s">
        <v>848</v>
      </c>
      <c r="E938" s="18">
        <f>1.122-0.561</f>
        <v>0.56100000000000005</v>
      </c>
    </row>
    <row r="939" spans="1:5" ht="34">
      <c r="A939" s="1" t="s">
        <v>64</v>
      </c>
      <c r="B939" s="9" t="s">
        <v>17</v>
      </c>
      <c r="C939" s="32" t="s">
        <v>830</v>
      </c>
      <c r="D939" s="27" t="s">
        <v>847</v>
      </c>
      <c r="E939" s="18">
        <f>1.431-0.073-0.359-(0.001)-0.477-(0.001)-0.028</f>
        <v>0.4920000000000001</v>
      </c>
    </row>
    <row r="940" spans="1:5" ht="34">
      <c r="A940" s="1" t="s">
        <v>64</v>
      </c>
      <c r="B940" s="9" t="s">
        <v>17</v>
      </c>
      <c r="C940" s="32" t="s">
        <v>830</v>
      </c>
      <c r="D940" s="27" t="s">
        <v>180</v>
      </c>
      <c r="E940" s="18">
        <f>4.245-1.4</f>
        <v>2.8450000000000002</v>
      </c>
    </row>
    <row r="941" spans="1:5" ht="34">
      <c r="A941" s="1" t="s">
        <v>64</v>
      </c>
      <c r="B941" s="9" t="s">
        <v>17</v>
      </c>
      <c r="C941" s="32" t="s">
        <v>830</v>
      </c>
      <c r="D941" s="27" t="s">
        <v>846</v>
      </c>
      <c r="E941" s="18">
        <f>1.4-0.52</f>
        <v>0.87999999999999989</v>
      </c>
    </row>
    <row r="942" spans="1:5" ht="34">
      <c r="A942" s="1" t="s">
        <v>64</v>
      </c>
      <c r="B942" s="9" t="s">
        <v>17</v>
      </c>
      <c r="C942" s="32" t="s">
        <v>830</v>
      </c>
      <c r="D942" s="27" t="s">
        <v>845</v>
      </c>
      <c r="E942" s="18">
        <f>3.155-1.577</f>
        <v>1.5779999999999998</v>
      </c>
    </row>
    <row r="943" spans="1:5" ht="34">
      <c r="A943" s="1" t="s">
        <v>64</v>
      </c>
      <c r="B943" s="9" t="s">
        <v>17</v>
      </c>
      <c r="C943" s="32" t="s">
        <v>830</v>
      </c>
      <c r="D943" s="27" t="s">
        <v>844</v>
      </c>
      <c r="E943" s="18">
        <f>1.577-0.529</f>
        <v>1.048</v>
      </c>
    </row>
    <row r="944" spans="1:5" ht="34">
      <c r="A944" s="1" t="s">
        <v>64</v>
      </c>
      <c r="B944" s="10" t="s">
        <v>17</v>
      </c>
      <c r="C944" s="32" t="s">
        <v>837</v>
      </c>
      <c r="D944" s="27" t="s">
        <v>843</v>
      </c>
      <c r="E944" s="18">
        <f>1.264-0.144-0.282-0.064-0.082-0.152-0.082-0.034-0.324</f>
        <v>0.10000000000000003</v>
      </c>
    </row>
    <row r="945" spans="1:5" ht="34">
      <c r="A945" s="1" t="s">
        <v>64</v>
      </c>
      <c r="B945" s="9" t="s">
        <v>17</v>
      </c>
      <c r="C945" s="32" t="s">
        <v>837</v>
      </c>
      <c r="D945" s="27" t="s">
        <v>843</v>
      </c>
      <c r="E945" s="18">
        <f>5.822-0.644-0.084-0.034-0.198-0.27-1.19-0.394-0.204-0.134-0.198-0.67-0.038-0.038-0.03-0.066-0.188-0.624-0.567</f>
        <v>0.25100000000000044</v>
      </c>
    </row>
    <row r="946" spans="1:5" ht="34">
      <c r="A946" s="1" t="s">
        <v>64</v>
      </c>
      <c r="B946" s="9" t="s">
        <v>17</v>
      </c>
      <c r="C946" s="32" t="s">
        <v>830</v>
      </c>
      <c r="D946" s="27" t="s">
        <v>650</v>
      </c>
      <c r="E946" s="18">
        <f>4.895-1.635-1.717</f>
        <v>1.5429999999999997</v>
      </c>
    </row>
    <row r="947" spans="1:5" ht="34">
      <c r="A947" s="1" t="s">
        <v>64</v>
      </c>
      <c r="B947" s="9" t="s">
        <v>17</v>
      </c>
      <c r="C947" s="32" t="s">
        <v>830</v>
      </c>
      <c r="D947" s="27" t="s">
        <v>842</v>
      </c>
      <c r="E947" s="18">
        <f>1.717-0.151-0.309</f>
        <v>1.2570000000000001</v>
      </c>
    </row>
    <row r="948" spans="1:5" ht="34">
      <c r="A948" s="1" t="s">
        <v>64</v>
      </c>
      <c r="B948" s="9" t="s">
        <v>17</v>
      </c>
      <c r="C948" s="32" t="s">
        <v>830</v>
      </c>
      <c r="D948" s="27" t="s">
        <v>650</v>
      </c>
      <c r="E948" s="18">
        <f>3.16</f>
        <v>3.16</v>
      </c>
    </row>
    <row r="949" spans="1:5" ht="34">
      <c r="A949" s="1" t="s">
        <v>64</v>
      </c>
      <c r="B949" s="9" t="s">
        <v>17</v>
      </c>
      <c r="C949" s="32" t="s">
        <v>830</v>
      </c>
      <c r="D949" s="27" t="s">
        <v>841</v>
      </c>
      <c r="E949" s="18">
        <f>3.455-1.72-1.104-(0.025)-0.113-(0.001)-0.2</f>
        <v>0.29199999999999998</v>
      </c>
    </row>
    <row r="950" spans="1:5" ht="34">
      <c r="A950" s="1" t="s">
        <v>64</v>
      </c>
      <c r="B950" s="9" t="s">
        <v>17</v>
      </c>
      <c r="C950" s="32" t="s">
        <v>830</v>
      </c>
      <c r="D950" s="27" t="s">
        <v>840</v>
      </c>
      <c r="E950" s="18">
        <f>1.72-0.18-0.184-0.096+(0.014)-0.112-0.369-0.17-(0.003)-0.546</f>
        <v>7.3999999999999844E-2</v>
      </c>
    </row>
    <row r="951" spans="1:5" ht="34">
      <c r="A951" s="1" t="s">
        <v>64</v>
      </c>
      <c r="B951" s="9" t="s">
        <v>17</v>
      </c>
      <c r="C951" s="32" t="s">
        <v>830</v>
      </c>
      <c r="D951" s="27" t="s">
        <v>839</v>
      </c>
      <c r="E951" s="18">
        <f>1.325-1</f>
        <v>0.32499999999999996</v>
      </c>
    </row>
    <row r="952" spans="1:5" ht="34">
      <c r="A952" s="1" t="s">
        <v>64</v>
      </c>
      <c r="B952" s="9" t="s">
        <v>17</v>
      </c>
      <c r="C952" s="32" t="s">
        <v>830</v>
      </c>
      <c r="D952" s="27" t="s">
        <v>207</v>
      </c>
      <c r="E952" s="18">
        <f>1.655</f>
        <v>1.655</v>
      </c>
    </row>
    <row r="953" spans="1:5" ht="34">
      <c r="A953" s="1" t="s">
        <v>64</v>
      </c>
      <c r="B953" s="9" t="s">
        <v>17</v>
      </c>
      <c r="C953" s="32" t="s">
        <v>830</v>
      </c>
      <c r="D953" s="27" t="s">
        <v>645</v>
      </c>
      <c r="E953" s="18">
        <f>1.63</f>
        <v>1.63</v>
      </c>
    </row>
    <row r="954" spans="1:5" ht="34">
      <c r="A954" s="1" t="s">
        <v>64</v>
      </c>
      <c r="B954" s="9" t="s">
        <v>17</v>
      </c>
      <c r="C954" s="32" t="s">
        <v>728</v>
      </c>
      <c r="D954" s="27" t="s">
        <v>760</v>
      </c>
      <c r="E954" s="18">
        <f>2.23-0.294-0.776-0.302-0.048-0.2-0.214</f>
        <v>0.39599999999999991</v>
      </c>
    </row>
    <row r="955" spans="1:5" ht="34">
      <c r="A955" s="1" t="s">
        <v>64</v>
      </c>
      <c r="B955" s="9" t="s">
        <v>17</v>
      </c>
      <c r="C955" s="32" t="s">
        <v>709</v>
      </c>
      <c r="D955" s="27" t="s">
        <v>760</v>
      </c>
      <c r="E955" s="18">
        <f>3.676-1.82-0.326-0.921-0.428</f>
        <v>0.18099999999999999</v>
      </c>
    </row>
    <row r="956" spans="1:5" ht="34">
      <c r="A956" s="1" t="s">
        <v>64</v>
      </c>
      <c r="B956" s="9" t="s">
        <v>17</v>
      </c>
      <c r="C956" s="32" t="s">
        <v>709</v>
      </c>
      <c r="D956" s="27" t="s">
        <v>760</v>
      </c>
      <c r="E956" s="18">
        <f>4.741-0.064-0.218-1.898-0.066-0.216-0.252-0.092-0.042-0.028-0.3-1</f>
        <v>0.56499999999999995</v>
      </c>
    </row>
    <row r="957" spans="1:5" ht="34">
      <c r="A957" s="1" t="s">
        <v>64</v>
      </c>
      <c r="B957" s="9" t="s">
        <v>17</v>
      </c>
      <c r="C957" s="32" t="s">
        <v>830</v>
      </c>
      <c r="D957" s="27" t="s">
        <v>641</v>
      </c>
      <c r="E957" s="18">
        <f>5.35-1.788-1.77</f>
        <v>1.7919999999999994</v>
      </c>
    </row>
    <row r="958" spans="1:5" ht="34">
      <c r="A958" s="1" t="s">
        <v>64</v>
      </c>
      <c r="B958" s="9" t="s">
        <v>17</v>
      </c>
      <c r="C958" s="32" t="s">
        <v>830</v>
      </c>
      <c r="D958" s="27" t="s">
        <v>838</v>
      </c>
      <c r="E958" s="18">
        <f>1.77-0.706-0.689-(0.001)</f>
        <v>0.37400000000000011</v>
      </c>
    </row>
    <row r="959" spans="1:5" ht="34">
      <c r="A959" s="1" t="s">
        <v>64</v>
      </c>
      <c r="B959" s="9" t="s">
        <v>17</v>
      </c>
      <c r="C959" s="32" t="s">
        <v>837</v>
      </c>
      <c r="D959" s="27" t="s">
        <v>836</v>
      </c>
      <c r="E959" s="18">
        <f>1.794-0.252-0.122-0.412-0.492-0.156</f>
        <v>0.36</v>
      </c>
    </row>
    <row r="960" spans="1:5" ht="34">
      <c r="A960" s="1" t="s">
        <v>64</v>
      </c>
      <c r="B960" s="9" t="s">
        <v>17</v>
      </c>
      <c r="C960" s="32" t="s">
        <v>830</v>
      </c>
      <c r="D960" s="23" t="s">
        <v>633</v>
      </c>
      <c r="E960" s="18">
        <f>5.635-1.85</f>
        <v>3.7849999999999997</v>
      </c>
    </row>
    <row r="961" spans="1:5" ht="34">
      <c r="A961" s="1" t="s">
        <v>64</v>
      </c>
      <c r="B961" s="9" t="s">
        <v>17</v>
      </c>
      <c r="C961" s="32" t="s">
        <v>830</v>
      </c>
      <c r="D961" s="23" t="s">
        <v>835</v>
      </c>
      <c r="E961" s="18">
        <f>1.85-1</f>
        <v>0.85000000000000009</v>
      </c>
    </row>
    <row r="962" spans="1:5" ht="34">
      <c r="A962" s="1" t="s">
        <v>64</v>
      </c>
      <c r="B962" s="9" t="s">
        <v>17</v>
      </c>
      <c r="C962" s="32" t="s">
        <v>709</v>
      </c>
      <c r="D962" s="23" t="s">
        <v>834</v>
      </c>
      <c r="E962" s="18">
        <f>1.79-0.896-0.31-0.098-0.086</f>
        <v>0.40000000000000013</v>
      </c>
    </row>
    <row r="963" spans="1:5" ht="34">
      <c r="A963" s="1" t="s">
        <v>64</v>
      </c>
      <c r="B963" s="9" t="s">
        <v>17</v>
      </c>
      <c r="C963" s="32" t="s">
        <v>833</v>
      </c>
      <c r="D963" s="23" t="s">
        <v>832</v>
      </c>
      <c r="E963" s="18">
        <f>1.8-1.454-(0.076)</f>
        <v>0.27000000000000007</v>
      </c>
    </row>
    <row r="964" spans="1:5" ht="34">
      <c r="A964" s="1" t="s">
        <v>64</v>
      </c>
      <c r="B964" s="9" t="s">
        <v>17</v>
      </c>
      <c r="C964" s="32" t="s">
        <v>709</v>
      </c>
      <c r="D964" s="23" t="s">
        <v>831</v>
      </c>
      <c r="E964" s="18">
        <f>0.268</f>
        <v>0.26800000000000002</v>
      </c>
    </row>
    <row r="965" spans="1:5" ht="34">
      <c r="A965" s="1" t="s">
        <v>64</v>
      </c>
      <c r="B965" s="9" t="s">
        <v>17</v>
      </c>
      <c r="C965" s="32" t="s">
        <v>830</v>
      </c>
      <c r="D965" s="27" t="s">
        <v>630</v>
      </c>
      <c r="E965" s="18">
        <f>5.52-1.84</f>
        <v>3.6799999999999997</v>
      </c>
    </row>
    <row r="966" spans="1:5" ht="34">
      <c r="A966" s="1" t="s">
        <v>64</v>
      </c>
      <c r="B966" s="9" t="s">
        <v>17</v>
      </c>
      <c r="C966" s="32" t="s">
        <v>830</v>
      </c>
      <c r="D966" s="27" t="s">
        <v>829</v>
      </c>
      <c r="E966" s="18">
        <f>1.84-1</f>
        <v>0.84000000000000008</v>
      </c>
    </row>
    <row r="967" spans="1:5" ht="34">
      <c r="A967" s="1" t="s">
        <v>64</v>
      </c>
      <c r="B967" s="9" t="s">
        <v>17</v>
      </c>
      <c r="C967" s="32" t="s">
        <v>709</v>
      </c>
      <c r="D967" s="23" t="s">
        <v>828</v>
      </c>
      <c r="E967" s="18">
        <f>2.68-0.17-0.042-0.392-0.9-0.106-0.258</f>
        <v>0.8120000000000005</v>
      </c>
    </row>
    <row r="968" spans="1:5" ht="34">
      <c r="A968" s="1" t="s">
        <v>64</v>
      </c>
      <c r="B968" s="9" t="s">
        <v>17</v>
      </c>
      <c r="C968" s="32" t="s">
        <v>709</v>
      </c>
      <c r="D968" s="23" t="s">
        <v>828</v>
      </c>
      <c r="E968" s="18">
        <f>2.658-1.342</f>
        <v>1.3159999999999998</v>
      </c>
    </row>
    <row r="969" spans="1:5" ht="34">
      <c r="A969" s="1" t="s">
        <v>64</v>
      </c>
      <c r="B969" s="9" t="s">
        <v>17</v>
      </c>
      <c r="C969" s="32" t="s">
        <v>728</v>
      </c>
      <c r="D969" s="27" t="s">
        <v>702</v>
      </c>
      <c r="E969" s="18">
        <f>6.634-0.406-1.554-0.188-0.334-0.192-0.524-1.564-0.176-0.178-0.7</f>
        <v>0.81800000000000095</v>
      </c>
    </row>
    <row r="970" spans="1:5" ht="34">
      <c r="A970" s="1" t="s">
        <v>64</v>
      </c>
      <c r="B970" s="9" t="s">
        <v>17</v>
      </c>
      <c r="C970" s="32" t="s">
        <v>709</v>
      </c>
      <c r="D970" s="27" t="s">
        <v>703</v>
      </c>
      <c r="E970" s="18">
        <f>1.794-1.056-0.084-0.412</f>
        <v>0.24200000000000005</v>
      </c>
    </row>
    <row r="971" spans="1:5" ht="34">
      <c r="A971" s="1" t="s">
        <v>64</v>
      </c>
      <c r="B971" s="9" t="s">
        <v>17</v>
      </c>
      <c r="C971" s="32" t="s">
        <v>728</v>
      </c>
      <c r="D971" s="27" t="s">
        <v>703</v>
      </c>
      <c r="E971" s="18">
        <f>3.484-1.774-0.282-0.366</f>
        <v>1.0619999999999998</v>
      </c>
    </row>
    <row r="972" spans="1:5" ht="34">
      <c r="A972" s="1" t="s">
        <v>64</v>
      </c>
      <c r="B972" s="9" t="s">
        <v>17</v>
      </c>
      <c r="C972" s="32" t="s">
        <v>709</v>
      </c>
      <c r="D972" s="27" t="s">
        <v>703</v>
      </c>
      <c r="E972" s="18">
        <f>5.706-0.134</f>
        <v>5.5720000000000001</v>
      </c>
    </row>
    <row r="973" spans="1:5" ht="34">
      <c r="A973" s="1" t="s">
        <v>64</v>
      </c>
      <c r="B973" s="9" t="s">
        <v>17</v>
      </c>
      <c r="C973" s="32" t="s">
        <v>709</v>
      </c>
      <c r="D973" s="27" t="s">
        <v>704</v>
      </c>
      <c r="E973" s="18">
        <f>2.46-0.184</f>
        <v>2.2759999999999998</v>
      </c>
    </row>
    <row r="974" spans="1:5" ht="34">
      <c r="A974" s="1" t="s">
        <v>64</v>
      </c>
      <c r="B974" s="9" t="s">
        <v>17</v>
      </c>
      <c r="C974" s="32" t="s">
        <v>827</v>
      </c>
      <c r="D974" s="27" t="s">
        <v>826</v>
      </c>
      <c r="E974" s="18">
        <f>1.158-0.67-0.32-(0.001)-0.167+(0.167)</f>
        <v>0.16699999999999987</v>
      </c>
    </row>
    <row r="975" spans="1:5" ht="34">
      <c r="A975" s="1" t="s">
        <v>64</v>
      </c>
      <c r="B975" s="9" t="s">
        <v>17</v>
      </c>
      <c r="C975" s="32" t="s">
        <v>709</v>
      </c>
      <c r="D975" s="27" t="s">
        <v>706</v>
      </c>
      <c r="E975" s="18">
        <f>5.054-2.499-0.498-0.496-0.364</f>
        <v>1.1970000000000005</v>
      </c>
    </row>
    <row r="976" spans="1:5" ht="34">
      <c r="A976" s="1" t="s">
        <v>64</v>
      </c>
      <c r="B976" s="9" t="s">
        <v>17</v>
      </c>
      <c r="C976" s="32" t="s">
        <v>709</v>
      </c>
      <c r="D976" s="27" t="s">
        <v>825</v>
      </c>
      <c r="E976" s="29">
        <f>2.586-0.086-0.778</f>
        <v>1.722</v>
      </c>
    </row>
    <row r="977" spans="1:5" ht="34">
      <c r="A977" s="1" t="s">
        <v>64</v>
      </c>
      <c r="B977" s="9" t="s">
        <v>17</v>
      </c>
      <c r="C977" s="32" t="s">
        <v>728</v>
      </c>
      <c r="D977" s="27" t="s">
        <v>825</v>
      </c>
      <c r="E977" s="29">
        <f>2.904-0.358-1.19-0.092</f>
        <v>1.2639999999999998</v>
      </c>
    </row>
    <row r="978" spans="1:5" ht="34">
      <c r="A978" s="1" t="s">
        <v>65</v>
      </c>
      <c r="B978" s="7" t="s">
        <v>50</v>
      </c>
      <c r="C978" s="14" t="s">
        <v>860</v>
      </c>
      <c r="D978" s="17" t="s">
        <v>861</v>
      </c>
      <c r="E978" s="18">
        <f>0.184</f>
        <v>0.184</v>
      </c>
    </row>
    <row r="979" spans="1:5" ht="34">
      <c r="A979" s="1" t="s">
        <v>65</v>
      </c>
      <c r="B979" s="7" t="s">
        <v>50</v>
      </c>
      <c r="C979" s="14" t="s">
        <v>860</v>
      </c>
      <c r="D979" s="17" t="s">
        <v>862</v>
      </c>
      <c r="E979" s="18">
        <f>0.118</f>
        <v>0.11799999999999999</v>
      </c>
    </row>
    <row r="980" spans="1:5" ht="34">
      <c r="A980" s="1" t="s">
        <v>65</v>
      </c>
      <c r="B980" s="7" t="s">
        <v>50</v>
      </c>
      <c r="C980" s="14" t="s">
        <v>860</v>
      </c>
      <c r="D980" s="17" t="s">
        <v>863</v>
      </c>
      <c r="E980" s="18">
        <v>1.2889999999999999</v>
      </c>
    </row>
    <row r="981" spans="1:5" ht="34">
      <c r="A981" s="1" t="s">
        <v>65</v>
      </c>
      <c r="B981" s="7" t="s">
        <v>50</v>
      </c>
      <c r="C981" s="14" t="s">
        <v>860</v>
      </c>
      <c r="D981" s="17" t="s">
        <v>864</v>
      </c>
      <c r="E981" s="18">
        <f>1.887</f>
        <v>1.887</v>
      </c>
    </row>
    <row r="982" spans="1:5" ht="34">
      <c r="A982" s="1" t="s">
        <v>65</v>
      </c>
      <c r="B982" s="7" t="s">
        <v>50</v>
      </c>
      <c r="C982" s="14" t="s">
        <v>860</v>
      </c>
      <c r="D982" s="17" t="s">
        <v>865</v>
      </c>
      <c r="E982" s="18">
        <f>1.091</f>
        <v>1.091</v>
      </c>
    </row>
    <row r="983" spans="1:5" ht="34">
      <c r="A983" s="1" t="s">
        <v>66</v>
      </c>
      <c r="B983" s="7" t="s">
        <v>50</v>
      </c>
      <c r="C983" s="14" t="s">
        <v>860</v>
      </c>
      <c r="D983" s="17" t="s">
        <v>866</v>
      </c>
      <c r="E983" s="18">
        <f>0.615-0.016-0.018-0.018-0.02-0.056-0.016-0.018</f>
        <v>0.4529999999999999</v>
      </c>
    </row>
    <row r="984" spans="1:5" ht="34">
      <c r="A984" s="1" t="s">
        <v>66</v>
      </c>
      <c r="B984" s="7" t="s">
        <v>50</v>
      </c>
      <c r="C984" s="14" t="s">
        <v>860</v>
      </c>
      <c r="D984" s="17" t="s">
        <v>867</v>
      </c>
      <c r="E984" s="18">
        <f>0.412-0.206-0.069-0.024-0.024</f>
        <v>8.8999999999999996E-2</v>
      </c>
    </row>
    <row r="985" spans="1:5" ht="34">
      <c r="A985" s="1" t="s">
        <v>66</v>
      </c>
      <c r="B985" s="7" t="s">
        <v>50</v>
      </c>
      <c r="C985" s="14" t="s">
        <v>860</v>
      </c>
      <c r="D985" s="17" t="s">
        <v>868</v>
      </c>
      <c r="E985" s="18">
        <f>0.597-0.023-0.11-0.104-0.024-0.023</f>
        <v>0.31299999999999994</v>
      </c>
    </row>
    <row r="986" spans="1:5" ht="34">
      <c r="A986" s="1" t="s">
        <v>66</v>
      </c>
      <c r="B986" s="7" t="s">
        <v>50</v>
      </c>
      <c r="C986" s="14" t="s">
        <v>860</v>
      </c>
      <c r="D986" s="17" t="s">
        <v>869</v>
      </c>
      <c r="E986" s="18">
        <f>0.577-0.108-0.08</f>
        <v>0.38899999999999996</v>
      </c>
    </row>
    <row r="987" spans="1:5" ht="34">
      <c r="A987" s="1" t="s">
        <v>66</v>
      </c>
      <c r="B987" s="7" t="s">
        <v>50</v>
      </c>
      <c r="C987" s="14" t="s">
        <v>860</v>
      </c>
      <c r="D987" s="17" t="s">
        <v>870</v>
      </c>
      <c r="E987" s="18">
        <f>0.611-0.072</f>
        <v>0.53900000000000003</v>
      </c>
    </row>
    <row r="988" spans="1:5" ht="34">
      <c r="A988" s="1" t="s">
        <v>66</v>
      </c>
      <c r="B988" s="7" t="s">
        <v>50</v>
      </c>
      <c r="C988" s="14" t="s">
        <v>860</v>
      </c>
      <c r="D988" s="17" t="s">
        <v>871</v>
      </c>
      <c r="E988" s="18">
        <f>0.56-0.058-0.048-0.11-0.11-0.114</f>
        <v>0.12000000000000004</v>
      </c>
    </row>
    <row r="989" spans="1:5" ht="34">
      <c r="A989" s="1" t="s">
        <v>66</v>
      </c>
      <c r="B989" s="6" t="s">
        <v>46</v>
      </c>
      <c r="C989" s="14" t="s">
        <v>873</v>
      </c>
      <c r="D989" s="14" t="s">
        <v>874</v>
      </c>
      <c r="E989" s="16">
        <f>3.67-0.897-1.866</f>
        <v>0.90699999999999958</v>
      </c>
    </row>
    <row r="990" spans="1:5" ht="34">
      <c r="A990" s="1" t="s">
        <v>66</v>
      </c>
      <c r="B990" s="6" t="s">
        <v>46</v>
      </c>
      <c r="C990" s="14" t="s">
        <v>873</v>
      </c>
      <c r="D990" s="14" t="s">
        <v>872</v>
      </c>
      <c r="E990" s="16">
        <f>0.897-0.084-0.142-(0.001)-0.072-(0.002)</f>
        <v>0.59600000000000009</v>
      </c>
    </row>
    <row r="991" spans="1:5" ht="17">
      <c r="A991" s="1" t="s">
        <v>67</v>
      </c>
      <c r="B991" s="6" t="s">
        <v>20</v>
      </c>
      <c r="C991" s="14" t="s">
        <v>884</v>
      </c>
      <c r="D991" s="14" t="s">
        <v>883</v>
      </c>
      <c r="E991" s="16">
        <f>4.12-0.02-0.01-0.095-0.01-0.01-0.01-0.03-0.096-0.02-0.01-0.02-0.01-0.01-0.097-0.01-0.01-0.01-0.01-0.01-0.01-0.01-0.01-0.01-0.01-0.097-0.01-0.193-0.01-0.01-0.02-0.1-0.097-0.01-0.01-0.01-0.01-2</f>
        <v>0.99500000000000544</v>
      </c>
    </row>
    <row r="992" spans="1:5" ht="17">
      <c r="A992" s="1" t="s">
        <v>67</v>
      </c>
      <c r="B992" s="6" t="s">
        <v>20</v>
      </c>
      <c r="C992" s="14" t="s">
        <v>876</v>
      </c>
      <c r="D992" s="14" t="s">
        <v>882</v>
      </c>
      <c r="E992" s="16">
        <f>1.05-0.069-0.018-0.12-0.054-0.038-0.019-0.019-0.019-0.019-0.019-0.106-0.019-0.034-0.019-0.019-0.019-0.019-0.312-0.088-0.019+(0.011)</f>
        <v>1.2999999999999824E-2</v>
      </c>
    </row>
    <row r="993" spans="1:5" ht="17">
      <c r="A993" s="1" t="s">
        <v>67</v>
      </c>
      <c r="B993" s="6" t="s">
        <v>20</v>
      </c>
      <c r="C993" s="14" t="s">
        <v>876</v>
      </c>
      <c r="D993" s="14" t="s">
        <v>881</v>
      </c>
      <c r="E993" s="16">
        <f>1.98-0.02-0.02-0.02-0.02-0.057-0.04-0.096-0.02-0.02-0.02-0.02-0.04-0.019-0.02-0.02-0.02-0.02-0.114</f>
        <v>1.3739999999999997</v>
      </c>
    </row>
    <row r="994" spans="1:5" ht="17">
      <c r="A994" s="1" t="s">
        <v>67</v>
      </c>
      <c r="B994" s="6" t="s">
        <v>20</v>
      </c>
      <c r="C994" s="14" t="s">
        <v>876</v>
      </c>
      <c r="D994" s="14" t="s">
        <v>880</v>
      </c>
      <c r="E994" s="16">
        <f>1.538-0.03-0.03-0.03-0.03-0.15-0.03-0.03-0.03-0.03-0.03-0.06-0.06-0.06-0.06-0.12</f>
        <v>0.75799999999999967</v>
      </c>
    </row>
    <row r="995" spans="1:5" ht="17">
      <c r="A995" s="1" t="s">
        <v>67</v>
      </c>
      <c r="B995" s="6" t="s">
        <v>20</v>
      </c>
      <c r="C995" s="14" t="s">
        <v>876</v>
      </c>
      <c r="D995" s="14" t="s">
        <v>879</v>
      </c>
      <c r="E995" s="16">
        <f>3.033-0.27-0.06-0.03-0.135-0.03-1.028-0.03-0.081-0.03-0.054-0.03</f>
        <v>1.2550000000000003</v>
      </c>
    </row>
    <row r="996" spans="1:5" ht="17">
      <c r="A996" s="1" t="s">
        <v>67</v>
      </c>
      <c r="B996" s="6" t="s">
        <v>20</v>
      </c>
      <c r="C996" s="14" t="s">
        <v>876</v>
      </c>
      <c r="D996" s="14" t="s">
        <v>878</v>
      </c>
      <c r="E996" s="16">
        <f>1.438-0.04-0.31-0.04-0.04-0.04-0.118-0.386-0.04-0.192-0.04</f>
        <v>0.19199999999999975</v>
      </c>
    </row>
    <row r="997" spans="1:5" ht="17">
      <c r="A997" s="1" t="s">
        <v>67</v>
      </c>
      <c r="B997" s="6" t="s">
        <v>20</v>
      </c>
      <c r="C997" s="14" t="s">
        <v>876</v>
      </c>
      <c r="D997" s="14" t="s">
        <v>877</v>
      </c>
      <c r="E997" s="16">
        <f>2.02-0.107-0.04-0.072-0.214-0.04-0.04-0.04-0.142-0.32-0.072-0.072-0.04-0.04-0.178-0.07-0.107-0.04-0.075-0.04-0.04-0.04-0.143-0.036</f>
        <v>1.1999999999999962E-2</v>
      </c>
    </row>
    <row r="998" spans="1:5" ht="17">
      <c r="A998" s="1" t="s">
        <v>67</v>
      </c>
      <c r="B998" s="11" t="s">
        <v>20</v>
      </c>
      <c r="C998" s="14" t="s">
        <v>876</v>
      </c>
      <c r="D998" s="14" t="s">
        <v>875</v>
      </c>
      <c r="E998" s="16">
        <f>1.99-0.5</f>
        <v>1.49</v>
      </c>
    </row>
    <row r="999" spans="1:5" ht="17">
      <c r="A999" s="1" t="s">
        <v>67</v>
      </c>
      <c r="B999" s="11" t="s">
        <v>20</v>
      </c>
      <c r="C999" s="21" t="s">
        <v>876</v>
      </c>
      <c r="D999" s="21" t="s">
        <v>904</v>
      </c>
      <c r="E999" s="16">
        <f>1.919-0.058-0.114-0.522-0.059-0.059-0.058-0.059-0.059-0.522-0.059-0.058-0.059-0.058</f>
        <v>0.17500000000000004</v>
      </c>
    </row>
    <row r="1000" spans="1:5" ht="17">
      <c r="A1000" s="1" t="s">
        <v>67</v>
      </c>
      <c r="B1000" s="6" t="s">
        <v>20</v>
      </c>
      <c r="C1000" s="21" t="s">
        <v>876</v>
      </c>
      <c r="D1000" s="21" t="s">
        <v>903</v>
      </c>
      <c r="E1000" s="16">
        <f>3.86-0.056-0.114-0.054-0.22-0.055-0.059-0.055-0.056-0.056-0.056-0.06-0.566-0.056-0.057-0.057-0.056-0.166-0.056-0.056-0.052-0.055-0.057-0.055-0.057-0.057-0.058-0.056-0.055-0.056-0.111-0.054-0.058-0.054</f>
        <v>1.1139999999999994</v>
      </c>
    </row>
    <row r="1001" spans="1:5" ht="17">
      <c r="A1001" s="1" t="s">
        <v>67</v>
      </c>
      <c r="B1001" s="6" t="s">
        <v>20</v>
      </c>
      <c r="C1001" s="14" t="s">
        <v>895</v>
      </c>
      <c r="D1001" s="14" t="s">
        <v>902</v>
      </c>
      <c r="E1001" s="16">
        <f>2.972-0.078-0.156-0.157-0.155-0.079-0.078-0.078-0.547-0.078-0.311-0.079-0.469-0.078-0.158-0.076-0.079-0.078-0.079-0.077</f>
        <v>8.2000000000000142E-2</v>
      </c>
    </row>
    <row r="1002" spans="1:5" ht="17">
      <c r="A1002" s="1" t="s">
        <v>67</v>
      </c>
      <c r="B1002" s="6" t="s">
        <v>20</v>
      </c>
      <c r="C1002" s="14" t="s">
        <v>895</v>
      </c>
      <c r="D1002" s="14" t="s">
        <v>901</v>
      </c>
      <c r="E1002" s="16">
        <f>3.108-1.01-0.157-0.156-0.075-0.078-0.077</f>
        <v>1.5549999999999999</v>
      </c>
    </row>
    <row r="1003" spans="1:5" ht="17">
      <c r="A1003" s="1" t="s">
        <v>67</v>
      </c>
      <c r="B1003" s="6" t="s">
        <v>20</v>
      </c>
      <c r="C1003" s="14" t="s">
        <v>876</v>
      </c>
      <c r="D1003" s="14" t="s">
        <v>900</v>
      </c>
      <c r="E1003" s="16">
        <f>2.13-0.096-0.096-0.193-0.191-0.482-0.096-0.096-0.096-0.099-0.096-0.192</f>
        <v>0.39699999999999974</v>
      </c>
    </row>
    <row r="1004" spans="1:5" ht="17">
      <c r="A1004" s="1" t="s">
        <v>67</v>
      </c>
      <c r="B1004" s="6" t="s">
        <v>20</v>
      </c>
      <c r="C1004" s="14" t="s">
        <v>895</v>
      </c>
      <c r="D1004" s="14" t="s">
        <v>237</v>
      </c>
      <c r="E1004" s="16">
        <f>3.054-0.099-0.297-0.097-0.099-0.1-0.099-0.391-0.196-0.1-0.097-0.096-0.098-0.196-0.096-0.394-0.298</f>
        <v>0.30099999999999888</v>
      </c>
    </row>
    <row r="1005" spans="1:5" ht="17">
      <c r="A1005" s="1" t="s">
        <v>67</v>
      </c>
      <c r="B1005" s="6" t="s">
        <v>20</v>
      </c>
      <c r="C1005" s="14" t="s">
        <v>895</v>
      </c>
      <c r="D1005" s="14" t="s">
        <v>899</v>
      </c>
      <c r="E1005" s="16">
        <f>5.08-0.14-0.14-0.281-0.282-0.14-0.424-0.141-0.844-0.14-0.14-0.138-0.702-0.142</f>
        <v>1.4260000000000015</v>
      </c>
    </row>
    <row r="1006" spans="1:5" ht="17">
      <c r="A1006" s="1" t="s">
        <v>67</v>
      </c>
      <c r="B1006" s="6" t="s">
        <v>20</v>
      </c>
      <c r="C1006" s="14" t="s">
        <v>898</v>
      </c>
      <c r="D1006" s="14" t="s">
        <v>897</v>
      </c>
      <c r="E1006" s="16">
        <f>4.71-0.157-0.157-0.157-0.157-0.156-0.314-0.319</f>
        <v>3.2929999999999997</v>
      </c>
    </row>
    <row r="1007" spans="1:5" ht="17">
      <c r="A1007" s="1" t="s">
        <v>67</v>
      </c>
      <c r="B1007" s="6" t="s">
        <v>20</v>
      </c>
      <c r="C1007" s="14" t="s">
        <v>860</v>
      </c>
      <c r="D1007" s="14" t="s">
        <v>896</v>
      </c>
      <c r="E1007" s="16">
        <f>0.39-0.196-0.068</f>
        <v>0.126</v>
      </c>
    </row>
    <row r="1008" spans="1:5" ht="17">
      <c r="A1008" s="1" t="s">
        <v>67</v>
      </c>
      <c r="B1008" s="6" t="s">
        <v>20</v>
      </c>
      <c r="C1008" s="14" t="s">
        <v>895</v>
      </c>
      <c r="D1008" s="14" t="s">
        <v>894</v>
      </c>
      <c r="E1008" s="16">
        <f>3.115-0.195-0.39-0.587-0.199-0.192</f>
        <v>1.5520000000000003</v>
      </c>
    </row>
    <row r="1009" spans="1:5" ht="17">
      <c r="A1009" s="1" t="s">
        <v>67</v>
      </c>
      <c r="B1009" s="6" t="s">
        <v>20</v>
      </c>
      <c r="C1009" s="14" t="s">
        <v>860</v>
      </c>
      <c r="D1009" s="14" t="s">
        <v>893</v>
      </c>
      <c r="E1009" s="16">
        <f>3.132-0.384-0.384-0.382-0.386-0.384-0.386-0.382-0.026-(0.056)-0.098-(0.002)-0.025-0.06</f>
        <v>0.17700000000000013</v>
      </c>
    </row>
    <row r="1010" spans="1:5" ht="17">
      <c r="A1010" s="1" t="s">
        <v>67</v>
      </c>
      <c r="B1010" s="9" t="s">
        <v>20</v>
      </c>
      <c r="C1010" s="28" t="s">
        <v>885</v>
      </c>
      <c r="D1010" s="27" t="s">
        <v>691</v>
      </c>
      <c r="E1010" s="18">
        <f>2.025-0.042-0.07-0.014-0.368-0.052-0.098-0.1-0.024-0.064-0.17-0.096+(0.17)-0.17-0.03-0.466-0.016-0.026-0.08-0.142-0.03</f>
        <v>0.1369999999999994</v>
      </c>
    </row>
    <row r="1011" spans="1:5" ht="17">
      <c r="A1011" s="1" t="s">
        <v>67</v>
      </c>
      <c r="B1011" s="9" t="s">
        <v>20</v>
      </c>
      <c r="C1011" s="28" t="s">
        <v>885</v>
      </c>
      <c r="D1011" s="27" t="s">
        <v>892</v>
      </c>
      <c r="E1011" s="18">
        <f>0.096-0.048</f>
        <v>4.8000000000000001E-2</v>
      </c>
    </row>
    <row r="1012" spans="1:5" ht="17">
      <c r="A1012" s="1" t="s">
        <v>67</v>
      </c>
      <c r="B1012" s="9" t="s">
        <v>20</v>
      </c>
      <c r="C1012" s="28"/>
      <c r="D1012" s="27" t="s">
        <v>891</v>
      </c>
      <c r="E1012" s="18">
        <f>2.35-0.234-0.234</f>
        <v>1.8820000000000001</v>
      </c>
    </row>
    <row r="1013" spans="1:5" ht="17">
      <c r="A1013" s="1" t="s">
        <v>67</v>
      </c>
      <c r="B1013" s="9" t="s">
        <v>20</v>
      </c>
      <c r="C1013" s="28" t="s">
        <v>885</v>
      </c>
      <c r="D1013" s="27" t="s">
        <v>850</v>
      </c>
      <c r="E1013" s="18">
        <f>1.496-0.044-0.072-0.014-0.058</f>
        <v>1.3079999999999998</v>
      </c>
    </row>
    <row r="1014" spans="1:5" ht="17">
      <c r="A1014" s="1" t="s">
        <v>67</v>
      </c>
      <c r="B1014" s="9" t="s">
        <v>20</v>
      </c>
      <c r="C1014" s="28" t="s">
        <v>885</v>
      </c>
      <c r="D1014" s="27" t="s">
        <v>692</v>
      </c>
      <c r="E1014" s="18">
        <f>2.68-0.198-0.19-0.056-0.04-0.04</f>
        <v>2.1560000000000001</v>
      </c>
    </row>
    <row r="1015" spans="1:5" ht="17">
      <c r="A1015" s="1" t="s">
        <v>67</v>
      </c>
      <c r="B1015" s="7" t="s">
        <v>20</v>
      </c>
      <c r="C1015" s="14" t="s">
        <v>885</v>
      </c>
      <c r="D1015" s="17" t="s">
        <v>781</v>
      </c>
      <c r="E1015" s="18">
        <f>2.9-0.014-0.158-0.156-0.104-0.09-0.282-0.154-0.31-0.016-0.026-0.09-0.312-0.076-0.052-0.166-0.064-0.09</f>
        <v>0.73999999999999988</v>
      </c>
    </row>
    <row r="1016" spans="1:5" ht="17">
      <c r="A1016" s="1" t="s">
        <v>67</v>
      </c>
      <c r="B1016" s="7" t="s">
        <v>20</v>
      </c>
      <c r="C1016" s="14" t="s">
        <v>887</v>
      </c>
      <c r="D1016" s="17" t="s">
        <v>781</v>
      </c>
      <c r="E1016" s="18">
        <f>4.72-0.104-0.022</f>
        <v>4.5939999999999994</v>
      </c>
    </row>
    <row r="1017" spans="1:5" ht="17">
      <c r="A1017" s="1" t="s">
        <v>67</v>
      </c>
      <c r="B1017" s="7" t="s">
        <v>20</v>
      </c>
      <c r="C1017" s="14" t="s">
        <v>885</v>
      </c>
      <c r="D1017" s="17" t="s">
        <v>843</v>
      </c>
      <c r="E1017" s="18">
        <f>4.442-0.266-2.107-0.218-0.03-0.024-0.22-0.024-0.37-0.7-0.092-0.062-0.012-0.038-0.122</f>
        <v>0.15699999999999992</v>
      </c>
    </row>
    <row r="1018" spans="1:5" ht="17">
      <c r="A1018" s="1" t="s">
        <v>67</v>
      </c>
      <c r="B1018" s="7" t="s">
        <v>20</v>
      </c>
      <c r="C1018" s="14" t="s">
        <v>885</v>
      </c>
      <c r="D1018" s="17" t="s">
        <v>843</v>
      </c>
      <c r="E1018" s="18">
        <f>2.932</f>
        <v>2.9319999999999999</v>
      </c>
    </row>
    <row r="1019" spans="1:5" ht="17">
      <c r="A1019" s="1" t="s">
        <v>67</v>
      </c>
      <c r="B1019" s="7" t="s">
        <v>20</v>
      </c>
      <c r="C1019" s="14" t="s">
        <v>885</v>
      </c>
      <c r="D1019" s="17" t="s">
        <v>769</v>
      </c>
      <c r="E1019" s="18">
        <f>0.572-0.072-0.318-0.114-(0.002)</f>
        <v>6.5999999999999934E-2</v>
      </c>
    </row>
    <row r="1020" spans="1:5" ht="17">
      <c r="A1020" s="1" t="s">
        <v>67</v>
      </c>
      <c r="B1020" s="7" t="s">
        <v>20</v>
      </c>
      <c r="C1020" s="14" t="s">
        <v>885</v>
      </c>
      <c r="D1020" s="17" t="s">
        <v>769</v>
      </c>
      <c r="E1020" s="18">
        <f>5.096-1.29-0.134-0.16-0.05-0.148-0.096-0.038-0.104-0.218-0.062-0.022-0.154-0.005-0.424-0.216-0.014-0.072-0.23-0.027-(0.002)-0.116</f>
        <v>1.5140000000000007</v>
      </c>
    </row>
    <row r="1021" spans="1:5" ht="17">
      <c r="A1021" s="1" t="s">
        <v>67</v>
      </c>
      <c r="B1021" s="7" t="s">
        <v>20</v>
      </c>
      <c r="C1021" s="14" t="s">
        <v>885</v>
      </c>
      <c r="D1021" s="17" t="s">
        <v>890</v>
      </c>
      <c r="E1021" s="18">
        <f>0.116-0.076</f>
        <v>4.0000000000000008E-2</v>
      </c>
    </row>
    <row r="1022" spans="1:5" ht="17">
      <c r="A1022" s="1" t="s">
        <v>67</v>
      </c>
      <c r="B1022" s="7" t="s">
        <v>20</v>
      </c>
      <c r="C1022" s="14" t="s">
        <v>885</v>
      </c>
      <c r="D1022" s="17" t="s">
        <v>769</v>
      </c>
      <c r="E1022" s="18">
        <f>5.491</f>
        <v>5.4909999999999997</v>
      </c>
    </row>
    <row r="1023" spans="1:5" ht="17">
      <c r="A1023" s="1" t="s">
        <v>67</v>
      </c>
      <c r="B1023" s="7" t="s">
        <v>20</v>
      </c>
      <c r="C1023" s="14" t="s">
        <v>885</v>
      </c>
      <c r="D1023" s="17" t="s">
        <v>760</v>
      </c>
      <c r="E1023" s="18">
        <f>4.942-1.27-0.238-0.076-0.042-0.078-0.322-0.078-0.078-0.136-0.078-0.058-0.176-0.08-0.286-0.288-0.098-0.108-0.026-0.634-0.05</f>
        <v>0.74200000000000033</v>
      </c>
    </row>
    <row r="1024" spans="1:5" ht="17">
      <c r="A1024" s="1" t="s">
        <v>67</v>
      </c>
      <c r="B1024" s="7" t="s">
        <v>20</v>
      </c>
      <c r="C1024" s="14" t="s">
        <v>885</v>
      </c>
      <c r="D1024" s="17" t="s">
        <v>889</v>
      </c>
      <c r="E1024" s="18">
        <f>0.026</f>
        <v>2.5999999999999999E-2</v>
      </c>
    </row>
    <row r="1025" spans="1:5" ht="17">
      <c r="A1025" s="1" t="s">
        <v>67</v>
      </c>
      <c r="B1025" s="7" t="s">
        <v>20</v>
      </c>
      <c r="C1025" s="14" t="s">
        <v>885</v>
      </c>
      <c r="D1025" s="17" t="s">
        <v>760</v>
      </c>
      <c r="E1025" s="18">
        <f>4.657-0.394-0.59</f>
        <v>3.673</v>
      </c>
    </row>
    <row r="1026" spans="1:5" ht="17">
      <c r="A1026" s="1" t="s">
        <v>67</v>
      </c>
      <c r="B1026" s="9" t="s">
        <v>20</v>
      </c>
      <c r="C1026" s="14" t="s">
        <v>885</v>
      </c>
      <c r="D1026" s="17" t="s">
        <v>888</v>
      </c>
      <c r="E1026" s="18">
        <f>2.264-0.308-0.428-0.02-0.148-0.604</f>
        <v>0.75599999999999989</v>
      </c>
    </row>
    <row r="1027" spans="1:5" ht="17">
      <c r="A1027" s="1" t="s">
        <v>67</v>
      </c>
      <c r="B1027" s="9" t="s">
        <v>20</v>
      </c>
      <c r="C1027" s="14" t="s">
        <v>885</v>
      </c>
      <c r="D1027" s="17" t="s">
        <v>749</v>
      </c>
      <c r="E1027" s="18">
        <f>2.325-0.07-0.496-0.038-0.126-0.126-0.2-0.07</f>
        <v>1.1990000000000003</v>
      </c>
    </row>
    <row r="1028" spans="1:5" ht="17">
      <c r="A1028" s="1" t="s">
        <v>67</v>
      </c>
      <c r="B1028" s="9" t="s">
        <v>20</v>
      </c>
      <c r="C1028" s="14" t="s">
        <v>885</v>
      </c>
      <c r="D1028" s="27" t="s">
        <v>740</v>
      </c>
      <c r="E1028" s="18">
        <f>4.678-0.102-0.06-0.152-1.55-0.062-0.146-0.124-0.372-0.102-0.542-0.314</f>
        <v>1.1520000000000004</v>
      </c>
    </row>
    <row r="1029" spans="1:5" ht="17">
      <c r="A1029" s="1" t="s">
        <v>67</v>
      </c>
      <c r="B1029" s="9" t="s">
        <v>20</v>
      </c>
      <c r="C1029" s="14" t="s">
        <v>885</v>
      </c>
      <c r="D1029" s="27" t="s">
        <v>740</v>
      </c>
      <c r="E1029" s="18">
        <f>4.664-1.178</f>
        <v>3.4859999999999998</v>
      </c>
    </row>
    <row r="1030" spans="1:5" ht="17">
      <c r="A1030" s="1" t="s">
        <v>67</v>
      </c>
      <c r="B1030" s="9" t="s">
        <v>20</v>
      </c>
      <c r="C1030" s="14" t="s">
        <v>885</v>
      </c>
      <c r="D1030" s="27" t="s">
        <v>702</v>
      </c>
      <c r="E1030" s="18">
        <f>2.964-1.01-0.06-0.102-0.506-0.324-0.042</f>
        <v>0.91999999999999971</v>
      </c>
    </row>
    <row r="1031" spans="1:5" ht="17">
      <c r="A1031" s="1" t="s">
        <v>67</v>
      </c>
      <c r="B1031" s="9" t="s">
        <v>20</v>
      </c>
      <c r="C1031" s="14" t="s">
        <v>887</v>
      </c>
      <c r="D1031" s="27" t="s">
        <v>702</v>
      </c>
      <c r="E1031" s="18">
        <f>1.792</f>
        <v>1.792</v>
      </c>
    </row>
    <row r="1032" spans="1:5" ht="17">
      <c r="A1032" s="1" t="s">
        <v>67</v>
      </c>
      <c r="B1032" s="9" t="s">
        <v>20</v>
      </c>
      <c r="C1032" s="14" t="s">
        <v>887</v>
      </c>
      <c r="D1032" s="27" t="s">
        <v>702</v>
      </c>
      <c r="E1032" s="18">
        <f>5.808</f>
        <v>5.8079999999999998</v>
      </c>
    </row>
    <row r="1033" spans="1:5" ht="17">
      <c r="A1033" s="1" t="s">
        <v>67</v>
      </c>
      <c r="B1033" s="7" t="s">
        <v>20</v>
      </c>
      <c r="C1033" s="28" t="s">
        <v>876</v>
      </c>
      <c r="D1033" s="27" t="s">
        <v>886</v>
      </c>
      <c r="E1033" s="18">
        <f>1.98-0.234-0.694-0.308</f>
        <v>0.74399999999999999</v>
      </c>
    </row>
    <row r="1034" spans="1:5" ht="17">
      <c r="A1034" s="1" t="s">
        <v>67</v>
      </c>
      <c r="B1034" s="7" t="s">
        <v>20</v>
      </c>
      <c r="C1034" s="14" t="s">
        <v>876</v>
      </c>
      <c r="D1034" s="17" t="s">
        <v>703</v>
      </c>
      <c r="E1034" s="18">
        <f>2.212</f>
        <v>2.2120000000000002</v>
      </c>
    </row>
    <row r="1035" spans="1:5" ht="17">
      <c r="A1035" s="1" t="s">
        <v>67</v>
      </c>
      <c r="B1035" s="7" t="s">
        <v>20</v>
      </c>
      <c r="C1035" s="14" t="s">
        <v>885</v>
      </c>
      <c r="D1035" s="17" t="s">
        <v>703</v>
      </c>
      <c r="E1035" s="18">
        <f>1.263-0.612-0.104-0.124</f>
        <v>0.42299999999999993</v>
      </c>
    </row>
    <row r="1036" spans="1:5" ht="17">
      <c r="A1036" s="1" t="s">
        <v>68</v>
      </c>
      <c r="B1036" s="14" t="s">
        <v>38</v>
      </c>
      <c r="C1036" s="14" t="s">
        <v>905</v>
      </c>
      <c r="D1036" s="14">
        <v>12</v>
      </c>
      <c r="E1036" s="15">
        <f>1.23-0.24-0.152-0.022-0.104</f>
        <v>0.71199999999999997</v>
      </c>
    </row>
    <row r="1037" spans="1:5" ht="17">
      <c r="A1037" s="1" t="s">
        <v>68</v>
      </c>
      <c r="B1037" s="14" t="s">
        <v>39</v>
      </c>
      <c r="C1037" s="14" t="s">
        <v>905</v>
      </c>
      <c r="D1037" s="14">
        <v>20</v>
      </c>
      <c r="E1037" s="16">
        <f>1.462-0.243</f>
        <v>1.2189999999999999</v>
      </c>
    </row>
    <row r="1038" spans="1:5" ht="17">
      <c r="A1038" s="1" t="s">
        <v>68</v>
      </c>
      <c r="B1038" s="14" t="s">
        <v>39</v>
      </c>
      <c r="C1038" s="14" t="s">
        <v>905</v>
      </c>
      <c r="D1038" s="14">
        <v>30</v>
      </c>
      <c r="E1038" s="16">
        <f>1.4</f>
        <v>1.4</v>
      </c>
    </row>
    <row r="1039" spans="1:5" ht="17">
      <c r="A1039" s="1" t="s">
        <v>68</v>
      </c>
      <c r="B1039" s="14" t="s">
        <v>39</v>
      </c>
      <c r="C1039" s="14" t="s">
        <v>905</v>
      </c>
      <c r="D1039" s="14">
        <v>40</v>
      </c>
      <c r="E1039" s="16">
        <f>1.516</f>
        <v>1.516</v>
      </c>
    </row>
    <row r="1040" spans="1:5" ht="17">
      <c r="A1040" s="1" t="s">
        <v>68</v>
      </c>
      <c r="B1040" s="14" t="s">
        <v>39</v>
      </c>
      <c r="C1040" s="14" t="s">
        <v>906</v>
      </c>
      <c r="D1040" s="14">
        <v>50</v>
      </c>
      <c r="E1040" s="16">
        <f>4.86-2</f>
        <v>2.8600000000000003</v>
      </c>
    </row>
    <row r="1041" spans="1:5" ht="17">
      <c r="A1041" s="1" t="s">
        <v>68</v>
      </c>
      <c r="B1041" s="14" t="s">
        <v>39</v>
      </c>
      <c r="C1041" s="14" t="s">
        <v>905</v>
      </c>
      <c r="D1041" s="14">
        <v>50</v>
      </c>
      <c r="E1041" s="16">
        <f>1.563</f>
        <v>1.5629999999999999</v>
      </c>
    </row>
    <row r="1042" spans="1:5" ht="17">
      <c r="A1042" s="1" t="s">
        <v>68</v>
      </c>
      <c r="B1042" s="14" t="s">
        <v>48</v>
      </c>
      <c r="C1042" s="14" t="s">
        <v>906</v>
      </c>
      <c r="D1042" s="14">
        <v>90</v>
      </c>
      <c r="E1042" s="16">
        <f>1.974-1.416-0.139</f>
        <v>0.41900000000000004</v>
      </c>
    </row>
    <row r="1043" spans="1:5" ht="17">
      <c r="A1043" s="1" t="s">
        <v>68</v>
      </c>
      <c r="B1043" s="14" t="s">
        <v>48</v>
      </c>
      <c r="C1043" s="14" t="s">
        <v>906</v>
      </c>
      <c r="D1043" s="14">
        <v>90</v>
      </c>
      <c r="E1043" s="16">
        <f>1.416</f>
        <v>1.4159999999999999</v>
      </c>
    </row>
    <row r="1044" spans="1:5" ht="17">
      <c r="A1044" s="1" t="s">
        <v>68</v>
      </c>
      <c r="B1044" s="14" t="s">
        <v>48</v>
      </c>
      <c r="C1044" s="14" t="s">
        <v>906</v>
      </c>
      <c r="D1044" s="14">
        <v>100</v>
      </c>
      <c r="E1044" s="16">
        <f>1.986</f>
        <v>1.986</v>
      </c>
    </row>
    <row r="1045" spans="1:5" ht="17">
      <c r="A1045" s="1" t="s">
        <v>68</v>
      </c>
      <c r="B1045" s="14" t="s">
        <v>48</v>
      </c>
      <c r="C1045" s="14" t="s">
        <v>905</v>
      </c>
      <c r="D1045" s="14">
        <v>110</v>
      </c>
      <c r="E1045" s="15">
        <f>2.694</f>
        <v>2.694</v>
      </c>
    </row>
    <row r="1046" spans="1:5" ht="17">
      <c r="A1046" s="1" t="s">
        <v>68</v>
      </c>
      <c r="B1046" s="14" t="s">
        <v>48</v>
      </c>
      <c r="C1046" s="14" t="s">
        <v>906</v>
      </c>
      <c r="D1046" s="14">
        <v>120</v>
      </c>
      <c r="E1046" s="16">
        <f>3.128-1.055</f>
        <v>2.0730000000000004</v>
      </c>
    </row>
    <row r="1047" spans="1:5" ht="17">
      <c r="A1047" s="1" t="s">
        <v>68</v>
      </c>
      <c r="B1047" s="14" t="s">
        <v>48</v>
      </c>
      <c r="C1047" s="14" t="s">
        <v>906</v>
      </c>
      <c r="D1047" s="14">
        <v>120</v>
      </c>
      <c r="E1047" s="16">
        <f>1.055</f>
        <v>1.0549999999999999</v>
      </c>
    </row>
    <row r="1048" spans="1:5" ht="17">
      <c r="A1048" s="1" t="s">
        <v>68</v>
      </c>
      <c r="B1048" s="14" t="s">
        <v>39</v>
      </c>
      <c r="C1048" s="14" t="s">
        <v>906</v>
      </c>
      <c r="D1048" s="14">
        <v>140</v>
      </c>
      <c r="E1048" s="16">
        <f>3.228-1.612</f>
        <v>1.6160000000000001</v>
      </c>
    </row>
    <row r="1049" spans="1:5" ht="17">
      <c r="A1049" s="1" t="s">
        <v>68</v>
      </c>
      <c r="B1049" s="14" t="s">
        <v>48</v>
      </c>
      <c r="C1049" s="14" t="s">
        <v>906</v>
      </c>
      <c r="D1049" s="14">
        <v>210</v>
      </c>
      <c r="E1049" s="16">
        <f>3.972</f>
        <v>3.972</v>
      </c>
    </row>
    <row r="1050" spans="1:5" ht="17">
      <c r="A1050" s="1" t="s">
        <v>68</v>
      </c>
      <c r="B1050" s="14" t="s">
        <v>48</v>
      </c>
      <c r="C1050" s="14" t="s">
        <v>905</v>
      </c>
      <c r="D1050" s="14">
        <v>250</v>
      </c>
      <c r="E1050" s="16">
        <f>2.338</f>
        <v>2.3380000000000001</v>
      </c>
    </row>
    <row r="1051" spans="1:5" ht="17">
      <c r="A1051" s="1" t="s">
        <v>68</v>
      </c>
      <c r="B1051" s="14" t="s">
        <v>39</v>
      </c>
      <c r="C1051" s="14" t="s">
        <v>906</v>
      </c>
      <c r="D1051" s="14">
        <v>250</v>
      </c>
      <c r="E1051" s="16">
        <f>12.278-2.46-3.688-2</f>
        <v>4.1300000000000008</v>
      </c>
    </row>
    <row r="1052" spans="1:5" ht="17">
      <c r="A1052" s="1" t="s">
        <v>68</v>
      </c>
      <c r="B1052" s="14" t="s">
        <v>39</v>
      </c>
      <c r="C1052" s="14" t="s">
        <v>906</v>
      </c>
      <c r="D1052" s="14">
        <v>400</v>
      </c>
      <c r="E1052" s="16">
        <f>3.684</f>
        <v>3.6840000000000002</v>
      </c>
    </row>
    <row r="1053" spans="1:5" ht="17">
      <c r="A1053" s="1" t="s">
        <v>68</v>
      </c>
      <c r="B1053" s="14" t="s">
        <v>69</v>
      </c>
      <c r="C1053" s="14" t="s">
        <v>907</v>
      </c>
      <c r="D1053" s="14" t="s">
        <v>908</v>
      </c>
      <c r="E1053" s="16">
        <f>2.648</f>
        <v>2.6480000000000001</v>
      </c>
    </row>
    <row r="1054" spans="1:5" ht="17">
      <c r="A1054" s="1" t="s">
        <v>68</v>
      </c>
      <c r="B1054" s="14" t="s">
        <v>69</v>
      </c>
      <c r="C1054" s="14" t="s">
        <v>907</v>
      </c>
      <c r="D1054" s="14" t="s">
        <v>687</v>
      </c>
      <c r="E1054" s="16">
        <f>5.042</f>
        <v>5.0419999999999998</v>
      </c>
    </row>
    <row r="1055" spans="1:5" ht="17">
      <c r="A1055" s="1" t="s">
        <v>68</v>
      </c>
      <c r="B1055" s="14" t="s">
        <v>69</v>
      </c>
      <c r="C1055" s="14" t="s">
        <v>907</v>
      </c>
      <c r="D1055" s="14" t="s">
        <v>691</v>
      </c>
      <c r="E1055" s="15">
        <f>2.154</f>
        <v>2.1539999999999999</v>
      </c>
    </row>
    <row r="1056" spans="1:5" ht="17">
      <c r="A1056" s="1" t="s">
        <v>68</v>
      </c>
      <c r="B1056" s="14" t="s">
        <v>4</v>
      </c>
      <c r="C1056" s="14" t="s">
        <v>909</v>
      </c>
      <c r="D1056" s="14">
        <v>14</v>
      </c>
      <c r="E1056" s="15">
        <v>2.5999999999999999E-2</v>
      </c>
    </row>
    <row r="1057" spans="1:5" ht="17">
      <c r="A1057" s="1" t="s">
        <v>68</v>
      </c>
      <c r="B1057" s="14" t="s">
        <v>4</v>
      </c>
      <c r="C1057" s="14" t="s">
        <v>910</v>
      </c>
      <c r="D1057" s="14">
        <v>170</v>
      </c>
      <c r="E1057" s="15">
        <f>0.609-0.074-0.178</f>
        <v>0.35700000000000004</v>
      </c>
    </row>
    <row r="1058" spans="1:5" ht="17">
      <c r="A1058" s="1" t="s">
        <v>68</v>
      </c>
      <c r="B1058" s="14" t="s">
        <v>5</v>
      </c>
      <c r="C1058" s="14" t="s">
        <v>911</v>
      </c>
      <c r="D1058" s="14">
        <v>250</v>
      </c>
      <c r="E1058" s="15">
        <f>1.19-0.42-0.392-0.154</f>
        <v>0.224</v>
      </c>
    </row>
    <row r="1059" spans="1:5" ht="17">
      <c r="A1059" s="1" t="s">
        <v>68</v>
      </c>
      <c r="B1059" s="14" t="s">
        <v>27</v>
      </c>
      <c r="C1059" s="14" t="s">
        <v>912</v>
      </c>
      <c r="D1059" s="14">
        <v>15</v>
      </c>
      <c r="E1059" s="15">
        <f>0.496-0.016-0.016-0.054-0.055</f>
        <v>0.35499999999999998</v>
      </c>
    </row>
    <row r="1060" spans="1:5" ht="17">
      <c r="A1060" s="1" t="s">
        <v>68</v>
      </c>
      <c r="B1060" s="14" t="s">
        <v>42</v>
      </c>
      <c r="C1060" s="14" t="s">
        <v>913</v>
      </c>
      <c r="D1060" s="14">
        <v>20</v>
      </c>
      <c r="E1060" s="15">
        <f>0.385-0.101</f>
        <v>0.28400000000000003</v>
      </c>
    </row>
    <row r="1061" spans="1:5" ht="17">
      <c r="A1061" s="1" t="s">
        <v>68</v>
      </c>
      <c r="B1061" s="13" t="s">
        <v>7</v>
      </c>
      <c r="C1061" s="14" t="s">
        <v>914</v>
      </c>
      <c r="D1061" s="14">
        <v>120</v>
      </c>
      <c r="E1061" s="16">
        <f>0.642-0.174-0.088-0.229</f>
        <v>0.151</v>
      </c>
    </row>
    <row r="1062" spans="1:5" ht="17">
      <c r="A1062" s="1" t="s">
        <v>68</v>
      </c>
      <c r="B1062" s="13" t="s">
        <v>7</v>
      </c>
      <c r="C1062" s="14" t="s">
        <v>914</v>
      </c>
      <c r="D1062" s="14">
        <v>160</v>
      </c>
      <c r="E1062" s="16">
        <f>0.178-0.016-0.016</f>
        <v>0.14599999999999996</v>
      </c>
    </row>
    <row r="1063" spans="1:5" ht="17">
      <c r="A1063" s="1" t="s">
        <v>68</v>
      </c>
      <c r="B1063" s="13" t="s">
        <v>7</v>
      </c>
      <c r="C1063" s="14" t="s">
        <v>914</v>
      </c>
      <c r="D1063" s="14">
        <v>200</v>
      </c>
      <c r="E1063" s="16">
        <f>0.096</f>
        <v>9.6000000000000002E-2</v>
      </c>
    </row>
    <row r="1064" spans="1:5" ht="17">
      <c r="A1064" s="1" t="s">
        <v>68</v>
      </c>
      <c r="B1064" s="13" t="s">
        <v>51</v>
      </c>
      <c r="C1064" s="14" t="s">
        <v>913</v>
      </c>
      <c r="D1064" s="38">
        <v>90</v>
      </c>
      <c r="E1064" s="15">
        <f>0.389-0.196</f>
        <v>0.193</v>
      </c>
    </row>
    <row r="1065" spans="1:5" ht="17">
      <c r="A1065" s="1" t="s">
        <v>68</v>
      </c>
      <c r="B1065" s="14" t="s">
        <v>32</v>
      </c>
      <c r="C1065" s="39" t="s">
        <v>915</v>
      </c>
      <c r="D1065" s="14">
        <v>120</v>
      </c>
      <c r="E1065" s="15">
        <f>2.157-0.3-0.108-0.06-0.937-0.302-0.021</f>
        <v>0.42899999999999977</v>
      </c>
    </row>
    <row r="1066" spans="1:5" ht="17">
      <c r="A1066" s="1" t="s">
        <v>68</v>
      </c>
      <c r="B1066" s="14" t="s">
        <v>37</v>
      </c>
      <c r="C1066" s="39" t="s">
        <v>915</v>
      </c>
      <c r="D1066" s="14">
        <v>140</v>
      </c>
      <c r="E1066" s="16">
        <f>2.485-0.002-0.016-0.412-0.594</f>
        <v>1.4610000000000003</v>
      </c>
    </row>
    <row r="1067" spans="1:5" ht="17">
      <c r="A1067" s="1" t="s">
        <v>68</v>
      </c>
      <c r="B1067" s="14" t="s">
        <v>37</v>
      </c>
      <c r="C1067" s="39" t="s">
        <v>915</v>
      </c>
      <c r="D1067" s="14">
        <v>180</v>
      </c>
      <c r="E1067" s="16">
        <f>2.617-0.076-0.048-0.236-0.046</f>
        <v>2.2109999999999999</v>
      </c>
    </row>
    <row r="1068" spans="1:5" ht="17">
      <c r="A1068" s="1" t="s">
        <v>68</v>
      </c>
      <c r="B1068" s="14" t="s">
        <v>37</v>
      </c>
      <c r="C1068" s="39" t="s">
        <v>916</v>
      </c>
      <c r="D1068" s="14" t="s">
        <v>711</v>
      </c>
      <c r="E1068" s="16">
        <f>3.01-1.252-0.318</f>
        <v>1.4399999999999997</v>
      </c>
    </row>
    <row r="1069" spans="1:5" ht="17">
      <c r="A1069" s="1" t="s">
        <v>68</v>
      </c>
      <c r="B1069" s="27" t="s">
        <v>14</v>
      </c>
      <c r="C1069" s="14" t="s">
        <v>914</v>
      </c>
      <c r="D1069" s="17">
        <v>15</v>
      </c>
      <c r="E1069" s="18">
        <f>0.41-0.008-0.034-0.05-0.015-0.077</f>
        <v>0.22599999999999998</v>
      </c>
    </row>
    <row r="1070" spans="1:5" ht="17">
      <c r="A1070" s="1" t="s">
        <v>68</v>
      </c>
      <c r="B1070" s="27" t="s">
        <v>14</v>
      </c>
      <c r="C1070" s="14" t="s">
        <v>914</v>
      </c>
      <c r="D1070" s="17">
        <v>16</v>
      </c>
      <c r="E1070" s="18">
        <f>0.67-0.019-0.102-0.046-0.096-0.137-0.2</f>
        <v>7.0000000000000007E-2</v>
      </c>
    </row>
    <row r="1071" spans="1:5" ht="17">
      <c r="A1071" s="1" t="s">
        <v>68</v>
      </c>
      <c r="B1071" s="27" t="s">
        <v>14</v>
      </c>
      <c r="C1071" s="14" t="s">
        <v>914</v>
      </c>
      <c r="D1071" s="17">
        <v>20</v>
      </c>
      <c r="E1071" s="18">
        <f>1.154-0.1-0.015-0.014-0.022-0.014-0.014-0.014</f>
        <v>0.96099999999999985</v>
      </c>
    </row>
    <row r="1072" spans="1:5" ht="17">
      <c r="A1072" s="1" t="s">
        <v>68</v>
      </c>
      <c r="B1072" s="27" t="s">
        <v>14</v>
      </c>
      <c r="C1072" s="14" t="s">
        <v>914</v>
      </c>
      <c r="D1072" s="17">
        <v>25</v>
      </c>
      <c r="E1072" s="18">
        <f>1.216-0.195-0.108-0.043-0.043-0.102-0.024-0.303-0.036</f>
        <v>0.36199999999999988</v>
      </c>
    </row>
    <row r="1073" spans="1:5" ht="17">
      <c r="A1073" s="1" t="s">
        <v>68</v>
      </c>
      <c r="B1073" s="27" t="s">
        <v>14</v>
      </c>
      <c r="C1073" s="14" t="s">
        <v>914</v>
      </c>
      <c r="D1073" s="17">
        <v>30</v>
      </c>
      <c r="E1073" s="18">
        <f>2.788-0.031-0.03-0.22-0.678-0.032-0.096-0.032-0.126-0.251-0.063-0.032-0.158-0.032-0.032-0.095</f>
        <v>0.87999999999999989</v>
      </c>
    </row>
    <row r="1074" spans="1:5" ht="17">
      <c r="A1074" s="1" t="s">
        <v>68</v>
      </c>
      <c r="B1074" s="27" t="s">
        <v>14</v>
      </c>
      <c r="C1074" s="14" t="s">
        <v>914</v>
      </c>
      <c r="D1074" s="17">
        <v>30</v>
      </c>
      <c r="E1074" s="18">
        <f>1.194-0.032</f>
        <v>1.1619999999999999</v>
      </c>
    </row>
    <row r="1075" spans="1:5" ht="17">
      <c r="A1075" s="1" t="s">
        <v>68</v>
      </c>
      <c r="B1075" s="27" t="s">
        <v>14</v>
      </c>
      <c r="C1075" s="14" t="s">
        <v>914</v>
      </c>
      <c r="D1075" s="17">
        <v>32</v>
      </c>
      <c r="E1075" s="18">
        <f>2.239-0.07-0.498-0.1-0.248-0.1</f>
        <v>1.2229999999999999</v>
      </c>
    </row>
    <row r="1076" spans="1:5" ht="17">
      <c r="A1076" s="1" t="s">
        <v>68</v>
      </c>
      <c r="B1076" s="27" t="s">
        <v>14</v>
      </c>
      <c r="C1076" s="14" t="s">
        <v>914</v>
      </c>
      <c r="D1076" s="17">
        <v>32</v>
      </c>
      <c r="E1076" s="18">
        <f>2.339</f>
        <v>2.339</v>
      </c>
    </row>
    <row r="1077" spans="1:5" ht="17">
      <c r="A1077" s="1" t="s">
        <v>68</v>
      </c>
      <c r="B1077" s="27" t="s">
        <v>14</v>
      </c>
      <c r="C1077" s="14" t="s">
        <v>914</v>
      </c>
      <c r="D1077" s="17">
        <v>36</v>
      </c>
      <c r="E1077" s="18">
        <f>6.306-0.747-0.164-0.118-0.159-0.083-0.499-0.124-0.192-0.182-0.041-0.039-0.286-0.163-1.006-2.34</f>
        <v>0.16300000000000026</v>
      </c>
    </row>
    <row r="1078" spans="1:5" ht="17">
      <c r="A1078" s="1" t="s">
        <v>68</v>
      </c>
      <c r="B1078" s="27" t="s">
        <v>14</v>
      </c>
      <c r="C1078" s="14" t="s">
        <v>914</v>
      </c>
      <c r="D1078" s="17">
        <v>36</v>
      </c>
      <c r="E1078" s="18">
        <f>2.879-0.18-0.135-0.09-0.09-0.045-0.135-0.18-0.178-0.27-0.18-0.225-0.18-0.18-0.135-0.225-0.137</f>
        <v>0.31400000000000061</v>
      </c>
    </row>
    <row r="1079" spans="1:5" ht="17">
      <c r="A1079" s="1" t="s">
        <v>68</v>
      </c>
      <c r="B1079" s="27" t="s">
        <v>14</v>
      </c>
      <c r="C1079" s="14" t="s">
        <v>914</v>
      </c>
      <c r="D1079" s="17">
        <v>40</v>
      </c>
      <c r="E1079" s="18">
        <f>5.978-0.055-0.327-0.055-0.055-0.054-0.437-0.03-0.055-0.055-0.055-0.085</f>
        <v>4.7150000000000007</v>
      </c>
    </row>
    <row r="1080" spans="1:5" ht="17">
      <c r="A1080" s="1" t="s">
        <v>68</v>
      </c>
      <c r="B1080" s="27" t="s">
        <v>14</v>
      </c>
      <c r="C1080" s="14" t="s">
        <v>914</v>
      </c>
      <c r="D1080" s="17">
        <v>45</v>
      </c>
      <c r="E1080" s="18">
        <f>1.261-0.197-0.063-0.072-0.18-0.053-0.119-0.019</f>
        <v>0.55799999999999983</v>
      </c>
    </row>
    <row r="1081" spans="1:5" ht="17">
      <c r="A1081" s="1" t="s">
        <v>68</v>
      </c>
      <c r="B1081" s="27" t="s">
        <v>14</v>
      </c>
      <c r="C1081" s="14" t="s">
        <v>914</v>
      </c>
      <c r="D1081" s="17">
        <v>45</v>
      </c>
      <c r="E1081" s="18">
        <f>1.304</f>
        <v>1.304</v>
      </c>
    </row>
    <row r="1082" spans="1:5" ht="17">
      <c r="A1082" s="1" t="s">
        <v>68</v>
      </c>
      <c r="B1082" s="27" t="s">
        <v>14</v>
      </c>
      <c r="C1082" s="14" t="s">
        <v>914</v>
      </c>
      <c r="D1082" s="17">
        <v>50</v>
      </c>
      <c r="E1082" s="18">
        <f>2.194-0.086-0.34-0.031-0.124-0.016-0.084-0.086</f>
        <v>1.4269999999999998</v>
      </c>
    </row>
    <row r="1083" spans="1:5" ht="17">
      <c r="A1083" s="1" t="s">
        <v>68</v>
      </c>
      <c r="B1083" s="27" t="s">
        <v>14</v>
      </c>
      <c r="C1083" s="14" t="s">
        <v>914</v>
      </c>
      <c r="D1083" s="17">
        <v>50</v>
      </c>
      <c r="E1083" s="18">
        <f>2.29-0.062</f>
        <v>2.2280000000000002</v>
      </c>
    </row>
    <row r="1084" spans="1:5" ht="17">
      <c r="A1084" s="1" t="s">
        <v>68</v>
      </c>
      <c r="B1084" s="27" t="s">
        <v>14</v>
      </c>
      <c r="C1084" s="14" t="s">
        <v>914</v>
      </c>
      <c r="D1084" s="17">
        <v>56</v>
      </c>
      <c r="E1084" s="18">
        <f>2.906-0.108-0.016-0.108</f>
        <v>2.6739999999999999</v>
      </c>
    </row>
    <row r="1085" spans="1:5" ht="17">
      <c r="A1085" s="1" t="s">
        <v>68</v>
      </c>
      <c r="B1085" s="27" t="s">
        <v>14</v>
      </c>
      <c r="C1085" s="14" t="s">
        <v>914</v>
      </c>
      <c r="D1085" s="17">
        <v>60</v>
      </c>
      <c r="E1085" s="18">
        <f>5.268-0.244-0.25-0.124-0.233-0.121-0.124-0.212-0.022-0.241-0.704-0.015-0.25-0.022-0.323-0.083</f>
        <v>2.3000000000000012</v>
      </c>
    </row>
    <row r="1086" spans="1:5" ht="17">
      <c r="A1086" s="1" t="s">
        <v>68</v>
      </c>
      <c r="B1086" s="27" t="s">
        <v>14</v>
      </c>
      <c r="C1086" s="14" t="s">
        <v>914</v>
      </c>
      <c r="D1086" s="17">
        <v>60</v>
      </c>
      <c r="E1086" s="18">
        <f>1.32</f>
        <v>1.32</v>
      </c>
    </row>
    <row r="1087" spans="1:5" ht="17">
      <c r="A1087" s="1" t="s">
        <v>68</v>
      </c>
      <c r="B1087" s="27" t="s">
        <v>14</v>
      </c>
      <c r="C1087" s="14" t="s">
        <v>914</v>
      </c>
      <c r="D1087" s="17">
        <v>70</v>
      </c>
      <c r="E1087" s="18">
        <f>6.69-0.167-0.166-0.073-0.015-0.217-0.082-4</f>
        <v>1.9700000000000006</v>
      </c>
    </row>
    <row r="1088" spans="1:5" ht="17">
      <c r="A1088" s="1" t="s">
        <v>68</v>
      </c>
      <c r="B1088" s="27" t="s">
        <v>14</v>
      </c>
      <c r="C1088" s="14" t="s">
        <v>917</v>
      </c>
      <c r="D1088" s="17">
        <v>75</v>
      </c>
      <c r="E1088" s="18">
        <f>2.306-1.176</f>
        <v>1.1300000000000001</v>
      </c>
    </row>
    <row r="1089" spans="1:5" ht="17">
      <c r="A1089" s="1" t="s">
        <v>68</v>
      </c>
      <c r="B1089" s="27" t="s">
        <v>14</v>
      </c>
      <c r="C1089" s="14" t="s">
        <v>917</v>
      </c>
      <c r="D1089" s="17">
        <v>80</v>
      </c>
      <c r="E1089" s="18">
        <f>3.332-0.182-0.205-0.173-0.088-0.023-0.017-0.089</f>
        <v>2.5549999999999997</v>
      </c>
    </row>
    <row r="1090" spans="1:5" ht="17">
      <c r="A1090" s="1" t="s">
        <v>68</v>
      </c>
      <c r="B1090" s="27" t="s">
        <v>14</v>
      </c>
      <c r="C1090" s="14" t="s">
        <v>914</v>
      </c>
      <c r="D1090" s="17">
        <v>80</v>
      </c>
      <c r="E1090" s="18">
        <f>6.355-0.215-4</f>
        <v>2.1400000000000006</v>
      </c>
    </row>
    <row r="1091" spans="1:5" ht="17">
      <c r="A1091" s="1" t="s">
        <v>68</v>
      </c>
      <c r="B1091" s="27" t="s">
        <v>14</v>
      </c>
      <c r="C1091" s="14" t="s">
        <v>917</v>
      </c>
      <c r="D1091" s="17">
        <v>85</v>
      </c>
      <c r="E1091" s="18">
        <f>2.286</f>
        <v>2.286</v>
      </c>
    </row>
    <row r="1092" spans="1:5" ht="17">
      <c r="A1092" s="1" t="s">
        <v>68</v>
      </c>
      <c r="B1092" s="27" t="s">
        <v>14</v>
      </c>
      <c r="C1092" s="14" t="s">
        <v>918</v>
      </c>
      <c r="D1092" s="17">
        <v>90</v>
      </c>
      <c r="E1092" s="18">
        <f>1.86-0.266-0.055-0.526-0.258-0.532</f>
        <v>0.22300000000000009</v>
      </c>
    </row>
    <row r="1093" spans="1:5" ht="17">
      <c r="A1093" s="1" t="s">
        <v>68</v>
      </c>
      <c r="B1093" s="27" t="s">
        <v>14</v>
      </c>
      <c r="C1093" s="14" t="s">
        <v>914</v>
      </c>
      <c r="D1093" s="17">
        <v>90</v>
      </c>
      <c r="E1093" s="18">
        <f>2.004-0.653-0.227-0.67-0.296</f>
        <v>0.15799999999999986</v>
      </c>
    </row>
    <row r="1094" spans="1:5" ht="17">
      <c r="A1094" s="1" t="s">
        <v>68</v>
      </c>
      <c r="B1094" s="27" t="s">
        <v>58</v>
      </c>
      <c r="C1094" s="14" t="s">
        <v>918</v>
      </c>
      <c r="D1094" s="17">
        <v>90</v>
      </c>
      <c r="E1094" s="18">
        <f>1.088-0.556</f>
        <v>0.53200000000000003</v>
      </c>
    </row>
    <row r="1095" spans="1:5" ht="17">
      <c r="A1095" s="1" t="s">
        <v>68</v>
      </c>
      <c r="B1095" s="27" t="s">
        <v>14</v>
      </c>
      <c r="C1095" s="14" t="s">
        <v>917</v>
      </c>
      <c r="D1095" s="17">
        <v>90</v>
      </c>
      <c r="E1095" s="18">
        <f>2.172</f>
        <v>2.1720000000000002</v>
      </c>
    </row>
    <row r="1096" spans="1:5" ht="17">
      <c r="A1096" s="1" t="s">
        <v>68</v>
      </c>
      <c r="B1096" s="27" t="s">
        <v>14</v>
      </c>
      <c r="C1096" s="14" t="s">
        <v>917</v>
      </c>
      <c r="D1096" s="17">
        <v>90</v>
      </c>
      <c r="E1096" s="18">
        <f>2.054</f>
        <v>2.0539999999999998</v>
      </c>
    </row>
    <row r="1097" spans="1:5" ht="17">
      <c r="A1097" s="1" t="s">
        <v>68</v>
      </c>
      <c r="B1097" s="27" t="s">
        <v>14</v>
      </c>
      <c r="C1097" s="14" t="s">
        <v>917</v>
      </c>
      <c r="D1097" s="17">
        <v>105</v>
      </c>
      <c r="E1097" s="18">
        <f>1.74-0.348-0.341</f>
        <v>1.0509999999999999</v>
      </c>
    </row>
    <row r="1098" spans="1:5" ht="17">
      <c r="A1098" s="1" t="s">
        <v>68</v>
      </c>
      <c r="B1098" s="27" t="s">
        <v>14</v>
      </c>
      <c r="C1098" s="14" t="s">
        <v>917</v>
      </c>
      <c r="D1098" s="17">
        <v>110</v>
      </c>
      <c r="E1098" s="18">
        <f>3.942-0.16-0.534-0.758-0.115-0.53-0.158</f>
        <v>1.6870000000000001</v>
      </c>
    </row>
    <row r="1099" spans="1:5" ht="17">
      <c r="A1099" s="1" t="s">
        <v>68</v>
      </c>
      <c r="B1099" s="27" t="s">
        <v>14</v>
      </c>
      <c r="C1099" s="14" t="s">
        <v>917</v>
      </c>
      <c r="D1099" s="17">
        <v>110</v>
      </c>
      <c r="E1099" s="18">
        <f>4.01</f>
        <v>4.01</v>
      </c>
    </row>
    <row r="1100" spans="1:5" ht="17">
      <c r="A1100" s="1" t="s">
        <v>68</v>
      </c>
      <c r="B1100" s="27" t="s">
        <v>14</v>
      </c>
      <c r="C1100" s="14" t="s">
        <v>917</v>
      </c>
      <c r="D1100" s="17">
        <v>120</v>
      </c>
      <c r="E1100" s="18">
        <f>3.43</f>
        <v>3.43</v>
      </c>
    </row>
    <row r="1101" spans="1:5" ht="17">
      <c r="A1101" s="1" t="s">
        <v>68</v>
      </c>
      <c r="B1101" s="27" t="s">
        <v>14</v>
      </c>
      <c r="C1101" s="14" t="s">
        <v>917</v>
      </c>
      <c r="D1101" s="17">
        <v>125</v>
      </c>
      <c r="E1101" s="18">
        <f>4.448-0.204-2.992</f>
        <v>1.2520000000000007</v>
      </c>
    </row>
    <row r="1102" spans="1:5" ht="17">
      <c r="A1102" s="1" t="s">
        <v>68</v>
      </c>
      <c r="B1102" s="27" t="s">
        <v>14</v>
      </c>
      <c r="C1102" s="14" t="s">
        <v>917</v>
      </c>
      <c r="D1102" s="17">
        <v>125</v>
      </c>
      <c r="E1102" s="18">
        <f>3.378</f>
        <v>3.3780000000000001</v>
      </c>
    </row>
    <row r="1103" spans="1:5" ht="17">
      <c r="A1103" s="1" t="s">
        <v>68</v>
      </c>
      <c r="B1103" s="27" t="s">
        <v>14</v>
      </c>
      <c r="C1103" s="14" t="s">
        <v>917</v>
      </c>
      <c r="D1103" s="17">
        <v>130</v>
      </c>
      <c r="E1103" s="18">
        <f>5.532-0.563-1.125-1.08-0.256-0.056-0.038-0.11-0.078-2</f>
        <v>0.22600000000000042</v>
      </c>
    </row>
    <row r="1104" spans="1:5" ht="17">
      <c r="A1104" s="1" t="s">
        <v>68</v>
      </c>
      <c r="B1104" s="27" t="s">
        <v>14</v>
      </c>
      <c r="C1104" s="14" t="s">
        <v>917</v>
      </c>
      <c r="D1104" s="17">
        <v>130</v>
      </c>
      <c r="E1104" s="18">
        <f>2.342-0.056-0.222-0.344</f>
        <v>1.7200000000000002</v>
      </c>
    </row>
    <row r="1105" spans="1:5" ht="17">
      <c r="A1105" s="1" t="s">
        <v>68</v>
      </c>
      <c r="B1105" s="27" t="s">
        <v>14</v>
      </c>
      <c r="C1105" s="14" t="s">
        <v>917</v>
      </c>
      <c r="D1105" s="17">
        <v>135</v>
      </c>
      <c r="E1105" s="18">
        <f>1.822-1.212-0.014</f>
        <v>0.59600000000000009</v>
      </c>
    </row>
    <row r="1106" spans="1:5" ht="17">
      <c r="A1106" s="1" t="s">
        <v>68</v>
      </c>
      <c r="B1106" s="27" t="s">
        <v>14</v>
      </c>
      <c r="C1106" s="14" t="s">
        <v>917</v>
      </c>
      <c r="D1106" s="17">
        <v>140</v>
      </c>
      <c r="E1106" s="18">
        <f>6.856-0.692</f>
        <v>6.1639999999999997</v>
      </c>
    </row>
    <row r="1107" spans="1:5" ht="17">
      <c r="A1107" s="1" t="s">
        <v>68</v>
      </c>
      <c r="B1107" s="27" t="s">
        <v>14</v>
      </c>
      <c r="C1107" s="14" t="s">
        <v>917</v>
      </c>
      <c r="D1107" s="17">
        <v>150</v>
      </c>
      <c r="E1107" s="18">
        <f>2.404-0.652</f>
        <v>1.7519999999999998</v>
      </c>
    </row>
    <row r="1108" spans="1:5" ht="17">
      <c r="A1108" s="1" t="s">
        <v>68</v>
      </c>
      <c r="B1108" s="27" t="s">
        <v>14</v>
      </c>
      <c r="C1108" s="14" t="s">
        <v>917</v>
      </c>
      <c r="D1108" s="17">
        <v>160</v>
      </c>
      <c r="E1108" s="18">
        <f>7.452-0.166-0.494-0.165-0.168-0.164-1.2</f>
        <v>5.0949999999999998</v>
      </c>
    </row>
    <row r="1109" spans="1:5" ht="17">
      <c r="A1109" s="1" t="s">
        <v>68</v>
      </c>
      <c r="B1109" s="27" t="s">
        <v>14</v>
      </c>
      <c r="C1109" s="14" t="s">
        <v>917</v>
      </c>
      <c r="D1109" s="17">
        <v>170</v>
      </c>
      <c r="E1109" s="18">
        <f>3.392-0.614-0.372-1.685-0.374-0.052</f>
        <v>0.2950000000000001</v>
      </c>
    </row>
    <row r="1110" spans="1:5" ht="17">
      <c r="A1110" s="1" t="s">
        <v>68</v>
      </c>
      <c r="B1110" s="27" t="s">
        <v>14</v>
      </c>
      <c r="C1110" s="14" t="s">
        <v>917</v>
      </c>
      <c r="D1110" s="17">
        <v>170</v>
      </c>
      <c r="E1110" s="18">
        <f>4.216-0.05-0.184</f>
        <v>3.9820000000000002</v>
      </c>
    </row>
    <row r="1111" spans="1:5" ht="17">
      <c r="A1111" s="1" t="s">
        <v>68</v>
      </c>
      <c r="B1111" s="27" t="s">
        <v>14</v>
      </c>
      <c r="C1111" s="14" t="s">
        <v>917</v>
      </c>
      <c r="D1111" s="17">
        <v>180</v>
      </c>
      <c r="E1111" s="18">
        <f>5.122-0.62-0.626-0.208</f>
        <v>3.6679999999999997</v>
      </c>
    </row>
    <row r="1112" spans="1:5" ht="17">
      <c r="A1112" s="1" t="s">
        <v>68</v>
      </c>
      <c r="B1112" s="27" t="s">
        <v>14</v>
      </c>
      <c r="C1112" s="14" t="s">
        <v>917</v>
      </c>
      <c r="D1112" s="17">
        <v>180</v>
      </c>
      <c r="E1112" s="18">
        <f>1.812-0.21-0.126</f>
        <v>1.476</v>
      </c>
    </row>
    <row r="1113" spans="1:5" ht="17">
      <c r="A1113" s="1" t="s">
        <v>68</v>
      </c>
      <c r="B1113" s="27" t="s">
        <v>14</v>
      </c>
      <c r="C1113" s="14" t="s">
        <v>917</v>
      </c>
      <c r="D1113" s="17">
        <v>190</v>
      </c>
      <c r="E1113" s="18">
        <f>6.21-1.352-0.012-0.228-0.139</f>
        <v>4.4790000000000001</v>
      </c>
    </row>
    <row r="1114" spans="1:5" ht="17">
      <c r="A1114" s="1" t="s">
        <v>68</v>
      </c>
      <c r="B1114" s="27" t="s">
        <v>14</v>
      </c>
      <c r="C1114" s="14" t="s">
        <v>917</v>
      </c>
      <c r="D1114" s="17">
        <v>200</v>
      </c>
      <c r="E1114" s="18">
        <f>11.194-0.502-0.738-0.504-5</f>
        <v>4.4500000000000011</v>
      </c>
    </row>
    <row r="1115" spans="1:5" ht="17">
      <c r="A1115" s="1" t="s">
        <v>68</v>
      </c>
      <c r="B1115" s="27" t="s">
        <v>14</v>
      </c>
      <c r="C1115" s="14" t="s">
        <v>917</v>
      </c>
      <c r="D1115" s="17">
        <v>200</v>
      </c>
      <c r="E1115" s="18">
        <f>4.678</f>
        <v>4.6779999999999999</v>
      </c>
    </row>
    <row r="1116" spans="1:5" ht="17">
      <c r="A1116" s="1" t="s">
        <v>68</v>
      </c>
      <c r="B1116" s="27" t="s">
        <v>14</v>
      </c>
      <c r="C1116" s="14" t="s">
        <v>917</v>
      </c>
      <c r="D1116" s="17">
        <v>210</v>
      </c>
      <c r="E1116" s="18">
        <f>5.144-3.386</f>
        <v>1.758</v>
      </c>
    </row>
    <row r="1117" spans="1:5" ht="17">
      <c r="A1117" s="1" t="s">
        <v>68</v>
      </c>
      <c r="B1117" s="27" t="s">
        <v>58</v>
      </c>
      <c r="C1117" s="14" t="s">
        <v>918</v>
      </c>
      <c r="D1117" s="17">
        <v>220</v>
      </c>
      <c r="E1117" s="18">
        <f>3.76-0.316-2-0.11</f>
        <v>1.3339999999999999</v>
      </c>
    </row>
    <row r="1118" spans="1:5" ht="17">
      <c r="A1118" s="1" t="s">
        <v>68</v>
      </c>
      <c r="B1118" s="27" t="s">
        <v>58</v>
      </c>
      <c r="C1118" s="14" t="s">
        <v>918</v>
      </c>
      <c r="D1118" s="17">
        <v>220</v>
      </c>
      <c r="E1118" s="18">
        <f>3.326-1.088</f>
        <v>2.238</v>
      </c>
    </row>
    <row r="1119" spans="1:5" ht="17">
      <c r="A1119" s="1" t="s">
        <v>68</v>
      </c>
      <c r="B1119" s="27" t="s">
        <v>14</v>
      </c>
      <c r="C1119" s="14" t="s">
        <v>917</v>
      </c>
      <c r="D1119" s="17">
        <v>220</v>
      </c>
      <c r="E1119" s="18">
        <f>6.698-1.638-3</f>
        <v>2.0600000000000005</v>
      </c>
    </row>
    <row r="1120" spans="1:5" ht="17">
      <c r="A1120" s="1" t="s">
        <v>68</v>
      </c>
      <c r="B1120" s="27" t="s">
        <v>14</v>
      </c>
      <c r="C1120" s="14" t="s">
        <v>917</v>
      </c>
      <c r="D1120" s="17">
        <v>240</v>
      </c>
      <c r="E1120" s="18">
        <f>8.534-1.764-0.366-1.72-1.634-1.714-0.182</f>
        <v>1.1540000000000012</v>
      </c>
    </row>
    <row r="1121" spans="1:5" ht="17">
      <c r="A1121" s="1" t="s">
        <v>68</v>
      </c>
      <c r="B1121" s="27" t="s">
        <v>14</v>
      </c>
      <c r="C1121" s="14" t="s">
        <v>917</v>
      </c>
      <c r="D1121" s="17">
        <v>240</v>
      </c>
      <c r="E1121" s="18">
        <f>8.892-5.29</f>
        <v>3.6019999999999994</v>
      </c>
    </row>
    <row r="1122" spans="1:5" ht="17">
      <c r="A1122" s="1" t="s">
        <v>68</v>
      </c>
      <c r="B1122" s="27" t="s">
        <v>14</v>
      </c>
      <c r="C1122" s="14" t="s">
        <v>917</v>
      </c>
      <c r="D1122" s="17">
        <v>250</v>
      </c>
      <c r="E1122" s="18">
        <f>3.674-1.212-0.856-0.206-0.676</f>
        <v>0.72399999999999987</v>
      </c>
    </row>
    <row r="1123" spans="1:5" ht="17">
      <c r="A1123" s="1" t="s">
        <v>68</v>
      </c>
      <c r="B1123" s="27" t="s">
        <v>14</v>
      </c>
      <c r="C1123" s="14" t="s">
        <v>917</v>
      </c>
      <c r="D1123" s="17">
        <v>250</v>
      </c>
      <c r="E1123" s="18">
        <f>1.21-0.233</f>
        <v>0.97699999999999998</v>
      </c>
    </row>
    <row r="1124" spans="1:5" ht="17">
      <c r="A1124" s="1" t="s">
        <v>68</v>
      </c>
      <c r="B1124" s="27" t="s">
        <v>14</v>
      </c>
      <c r="C1124" s="14" t="s">
        <v>917</v>
      </c>
      <c r="D1124" s="17">
        <v>250</v>
      </c>
      <c r="E1124" s="18">
        <f>2.606</f>
        <v>2.6059999999999999</v>
      </c>
    </row>
    <row r="1125" spans="1:5" ht="17">
      <c r="A1125" s="1" t="s">
        <v>68</v>
      </c>
      <c r="B1125" s="27" t="s">
        <v>58</v>
      </c>
      <c r="C1125" s="14" t="s">
        <v>918</v>
      </c>
      <c r="D1125" s="17">
        <v>260</v>
      </c>
      <c r="E1125" s="18">
        <f>6.826-2.22-0.088</f>
        <v>4.5179999999999998</v>
      </c>
    </row>
    <row r="1126" spans="1:5" ht="17">
      <c r="A1126" s="1" t="s">
        <v>68</v>
      </c>
      <c r="B1126" s="27" t="s">
        <v>14</v>
      </c>
      <c r="C1126" s="14" t="s">
        <v>917</v>
      </c>
      <c r="D1126" s="17">
        <v>260</v>
      </c>
      <c r="E1126" s="18">
        <f>2.62-0.212</f>
        <v>2.4079999999999999</v>
      </c>
    </row>
    <row r="1127" spans="1:5" ht="17">
      <c r="A1127" s="1" t="s">
        <v>68</v>
      </c>
      <c r="B1127" s="27" t="s">
        <v>14</v>
      </c>
      <c r="C1127" s="14" t="s">
        <v>917</v>
      </c>
      <c r="D1127" s="17">
        <v>270</v>
      </c>
      <c r="E1127" s="18">
        <f>1.32-0.204</f>
        <v>1.1160000000000001</v>
      </c>
    </row>
    <row r="1128" spans="1:5" ht="17">
      <c r="A1128" s="1" t="s">
        <v>68</v>
      </c>
      <c r="B1128" s="27" t="s">
        <v>14</v>
      </c>
      <c r="C1128" s="14" t="s">
        <v>917</v>
      </c>
      <c r="D1128" s="17">
        <v>270</v>
      </c>
      <c r="E1128" s="18">
        <f>2.496</f>
        <v>2.496</v>
      </c>
    </row>
    <row r="1129" spans="1:5" ht="17">
      <c r="A1129" s="1" t="s">
        <v>68</v>
      </c>
      <c r="B1129" s="27" t="s">
        <v>14</v>
      </c>
      <c r="C1129" s="14" t="s">
        <v>917</v>
      </c>
      <c r="D1129" s="17">
        <v>280</v>
      </c>
      <c r="E1129" s="18">
        <f>2.96-0.092-0.097</f>
        <v>2.7709999999999999</v>
      </c>
    </row>
    <row r="1130" spans="1:5" ht="17">
      <c r="A1130" s="1" t="s">
        <v>68</v>
      </c>
      <c r="B1130" s="27" t="s">
        <v>14</v>
      </c>
      <c r="C1130" s="14" t="s">
        <v>917</v>
      </c>
      <c r="D1130" s="17">
        <v>280</v>
      </c>
      <c r="E1130" s="18">
        <f>2.924</f>
        <v>2.9239999999999999</v>
      </c>
    </row>
    <row r="1131" spans="1:5" ht="17">
      <c r="A1131" s="1" t="s">
        <v>68</v>
      </c>
      <c r="B1131" s="27" t="s">
        <v>14</v>
      </c>
      <c r="C1131" s="14" t="s">
        <v>917</v>
      </c>
      <c r="D1131" s="17">
        <v>300</v>
      </c>
      <c r="E1131" s="18">
        <f>2.054-0.912-0.309</f>
        <v>0.83299999999999996</v>
      </c>
    </row>
    <row r="1132" spans="1:5" ht="17">
      <c r="A1132" s="1" t="s">
        <v>68</v>
      </c>
      <c r="B1132" s="27" t="s">
        <v>52</v>
      </c>
      <c r="C1132" s="14" t="s">
        <v>917</v>
      </c>
      <c r="D1132" s="17">
        <v>300</v>
      </c>
      <c r="E1132" s="18">
        <f>2.036</f>
        <v>2.036</v>
      </c>
    </row>
    <row r="1133" spans="1:5" ht="17">
      <c r="A1133" s="1" t="s">
        <v>68</v>
      </c>
      <c r="B1133" s="27" t="s">
        <v>52</v>
      </c>
      <c r="C1133" s="14" t="s">
        <v>917</v>
      </c>
      <c r="D1133" s="17">
        <v>300</v>
      </c>
      <c r="E1133" s="18">
        <f>8.75-6</f>
        <v>2.75</v>
      </c>
    </row>
    <row r="1134" spans="1:5" ht="17">
      <c r="A1134" s="1" t="s">
        <v>68</v>
      </c>
      <c r="B1134" s="27" t="s">
        <v>14</v>
      </c>
      <c r="C1134" s="14" t="s">
        <v>917</v>
      </c>
      <c r="D1134" s="17">
        <v>310</v>
      </c>
      <c r="E1134" s="18">
        <f>4.742</f>
        <v>4.742</v>
      </c>
    </row>
    <row r="1135" spans="1:5" ht="17">
      <c r="A1135" s="1" t="s">
        <v>68</v>
      </c>
      <c r="B1135" s="27" t="s">
        <v>14</v>
      </c>
      <c r="C1135" s="14" t="s">
        <v>917</v>
      </c>
      <c r="D1135" s="17">
        <v>320</v>
      </c>
      <c r="E1135" s="18">
        <f>4.774-0.118-0.128-2.26-0.706</f>
        <v>1.5619999999999998</v>
      </c>
    </row>
    <row r="1136" spans="1:5" ht="17">
      <c r="A1136" s="1" t="s">
        <v>68</v>
      </c>
      <c r="B1136" s="27" t="s">
        <v>14</v>
      </c>
      <c r="C1136" s="14" t="s">
        <v>917</v>
      </c>
      <c r="D1136" s="17">
        <v>320</v>
      </c>
      <c r="E1136" s="18">
        <f>4.658</f>
        <v>4.6580000000000004</v>
      </c>
    </row>
    <row r="1137" spans="1:5" ht="17">
      <c r="A1137" s="1" t="s">
        <v>68</v>
      </c>
      <c r="B1137" s="27" t="s">
        <v>14</v>
      </c>
      <c r="C1137" s="14" t="s">
        <v>917</v>
      </c>
      <c r="D1137" s="17">
        <v>330</v>
      </c>
      <c r="E1137" s="18">
        <f>3.232</f>
        <v>3.2320000000000002</v>
      </c>
    </row>
    <row r="1138" spans="1:5" ht="17">
      <c r="A1138" s="1" t="s">
        <v>68</v>
      </c>
      <c r="B1138" s="27" t="s">
        <v>52</v>
      </c>
      <c r="C1138" s="14" t="s">
        <v>917</v>
      </c>
      <c r="D1138" s="17">
        <v>330</v>
      </c>
      <c r="E1138" s="18">
        <f>4.15</f>
        <v>4.1500000000000004</v>
      </c>
    </row>
    <row r="1139" spans="1:5" ht="17">
      <c r="A1139" s="1" t="s">
        <v>68</v>
      </c>
      <c r="B1139" s="27" t="s">
        <v>14</v>
      </c>
      <c r="C1139" s="14" t="s">
        <v>917</v>
      </c>
      <c r="D1139" s="17">
        <v>340</v>
      </c>
      <c r="E1139" s="18">
        <f>8.08-4</f>
        <v>4.08</v>
      </c>
    </row>
    <row r="1140" spans="1:5" ht="17">
      <c r="A1140" s="1" t="s">
        <v>68</v>
      </c>
      <c r="B1140" s="27" t="s">
        <v>52</v>
      </c>
      <c r="C1140" s="14" t="s">
        <v>917</v>
      </c>
      <c r="D1140" s="17">
        <v>350</v>
      </c>
      <c r="E1140" s="18">
        <f>7.762</f>
        <v>7.7619999999999996</v>
      </c>
    </row>
    <row r="1141" spans="1:5" ht="17">
      <c r="A1141" s="1" t="s">
        <v>68</v>
      </c>
      <c r="B1141" s="27" t="s">
        <v>52</v>
      </c>
      <c r="C1141" s="14" t="s">
        <v>917</v>
      </c>
      <c r="D1141" s="17">
        <v>360</v>
      </c>
      <c r="E1141" s="18">
        <f>5.804</f>
        <v>5.8040000000000003</v>
      </c>
    </row>
    <row r="1142" spans="1:5" ht="17">
      <c r="A1142" s="1" t="s">
        <v>68</v>
      </c>
      <c r="B1142" s="27" t="s">
        <v>14</v>
      </c>
      <c r="C1142" s="14" t="s">
        <v>917</v>
      </c>
      <c r="D1142" s="17">
        <v>380</v>
      </c>
      <c r="E1142" s="18">
        <f>4.916</f>
        <v>4.9160000000000004</v>
      </c>
    </row>
    <row r="1143" spans="1:5" ht="17">
      <c r="A1143" s="1" t="s">
        <v>68</v>
      </c>
      <c r="B1143" s="27" t="s">
        <v>14</v>
      </c>
      <c r="C1143" s="14" t="s">
        <v>917</v>
      </c>
      <c r="D1143" s="17">
        <v>400</v>
      </c>
      <c r="E1143" s="18">
        <f>5.58-0.706-1.006-0.146</f>
        <v>3.7220000000000004</v>
      </c>
    </row>
    <row r="1144" spans="1:5" ht="17">
      <c r="A1144" s="1" t="s">
        <v>68</v>
      </c>
      <c r="B1144" s="27" t="s">
        <v>52</v>
      </c>
      <c r="C1144" s="14" t="s">
        <v>917</v>
      </c>
      <c r="D1144" s="17">
        <v>420</v>
      </c>
      <c r="E1144" s="18">
        <f>6.636-3.312</f>
        <v>3.3240000000000003</v>
      </c>
    </row>
    <row r="1145" spans="1:5" ht="17">
      <c r="A1145" s="1" t="s">
        <v>68</v>
      </c>
      <c r="B1145" s="27" t="s">
        <v>14</v>
      </c>
      <c r="C1145" s="14" t="s">
        <v>917</v>
      </c>
      <c r="D1145" s="17">
        <v>450</v>
      </c>
      <c r="E1145" s="18">
        <f>5.715-1.904-2.024</f>
        <v>1.7869999999999999</v>
      </c>
    </row>
    <row r="1146" spans="1:5" ht="17">
      <c r="A1146" s="1" t="s">
        <v>68</v>
      </c>
      <c r="B1146" s="27" t="s">
        <v>52</v>
      </c>
      <c r="C1146" s="14" t="s">
        <v>917</v>
      </c>
      <c r="D1146" s="17">
        <v>450</v>
      </c>
      <c r="E1146" s="18">
        <f>6.844-4</f>
        <v>2.8440000000000003</v>
      </c>
    </row>
    <row r="1147" spans="1:5" ht="17">
      <c r="A1147" s="1" t="s">
        <v>68</v>
      </c>
      <c r="B1147" s="27" t="s">
        <v>14</v>
      </c>
      <c r="C1147" s="14" t="s">
        <v>917</v>
      </c>
      <c r="D1147" s="17">
        <v>460</v>
      </c>
      <c r="E1147" s="18">
        <f>5.7-0.326-0.318</f>
        <v>5.0560000000000009</v>
      </c>
    </row>
    <row r="1148" spans="1:5" ht="17">
      <c r="A1148" s="1" t="s">
        <v>68</v>
      </c>
      <c r="B1148" s="27" t="s">
        <v>14</v>
      </c>
      <c r="C1148" s="14" t="s">
        <v>917</v>
      </c>
      <c r="D1148" s="17">
        <v>560</v>
      </c>
      <c r="E1148" s="18">
        <f>5.585-1.662</f>
        <v>3.923</v>
      </c>
    </row>
    <row r="1149" spans="1:5" ht="17">
      <c r="A1149" s="1" t="s">
        <v>68</v>
      </c>
      <c r="B1149" s="40" t="s">
        <v>14</v>
      </c>
      <c r="C1149" s="14" t="s">
        <v>728</v>
      </c>
      <c r="D1149" s="17" t="s">
        <v>781</v>
      </c>
      <c r="E1149" s="18">
        <f>1.136-0.034-0.054-0.028-0.02-0.232-0.082-0.123-0.126</f>
        <v>0.43699999999999983</v>
      </c>
    </row>
    <row r="1150" spans="1:5" ht="17">
      <c r="A1150" s="1" t="s">
        <v>68</v>
      </c>
      <c r="B1150" s="40" t="s">
        <v>14</v>
      </c>
      <c r="C1150" s="14" t="s">
        <v>728</v>
      </c>
      <c r="D1150" s="17" t="s">
        <v>781</v>
      </c>
      <c r="E1150" s="18">
        <f>1.756-0.126-0.162-0.248-0.322-0.081-0.102</f>
        <v>0.71499999999999997</v>
      </c>
    </row>
    <row r="1151" spans="1:5" ht="17">
      <c r="A1151" s="1" t="s">
        <v>68</v>
      </c>
      <c r="B1151" s="40" t="s">
        <v>14</v>
      </c>
      <c r="C1151" s="14" t="s">
        <v>728</v>
      </c>
      <c r="D1151" s="17" t="s">
        <v>843</v>
      </c>
      <c r="E1151" s="18">
        <f>1.866-0.026-0.015-0.076-0.118</f>
        <v>1.6310000000000002</v>
      </c>
    </row>
    <row r="1152" spans="1:5" ht="17">
      <c r="A1152" s="1" t="s">
        <v>68</v>
      </c>
      <c r="B1152" s="27" t="s">
        <v>14</v>
      </c>
      <c r="C1152" s="26" t="s">
        <v>919</v>
      </c>
      <c r="D1152" s="17" t="s">
        <v>920</v>
      </c>
      <c r="E1152" s="18">
        <f>0.25</f>
        <v>0.25</v>
      </c>
    </row>
    <row r="1153" spans="1:5" ht="17">
      <c r="A1153" s="1" t="s">
        <v>68</v>
      </c>
      <c r="B1153" s="40" t="s">
        <v>14</v>
      </c>
      <c r="C1153" s="14" t="s">
        <v>728</v>
      </c>
      <c r="D1153" s="17" t="s">
        <v>769</v>
      </c>
      <c r="E1153" s="18">
        <f>1.775-0.456-0.23-0.228-0.046</f>
        <v>0.81499999999999995</v>
      </c>
    </row>
    <row r="1154" spans="1:5" ht="17">
      <c r="A1154" s="1" t="s">
        <v>68</v>
      </c>
      <c r="B1154" s="40" t="s">
        <v>14</v>
      </c>
      <c r="C1154" s="14" t="s">
        <v>728</v>
      </c>
      <c r="D1154" s="17" t="s">
        <v>762</v>
      </c>
      <c r="E1154" s="18">
        <f>1.764-0.044-0.064</f>
        <v>1.6559999999999999</v>
      </c>
    </row>
    <row r="1155" spans="1:5" ht="17">
      <c r="A1155" s="1" t="s">
        <v>68</v>
      </c>
      <c r="B1155" s="40" t="s">
        <v>14</v>
      </c>
      <c r="C1155" s="17" t="s">
        <v>917</v>
      </c>
      <c r="D1155" s="17" t="s">
        <v>921</v>
      </c>
      <c r="E1155" s="18">
        <f>3.772-0.18-0.956-0.142-0.28-0.314-0.044-0.084</f>
        <v>1.7719999999999994</v>
      </c>
    </row>
    <row r="1156" spans="1:5" ht="17">
      <c r="A1156" s="1" t="s">
        <v>68</v>
      </c>
      <c r="B1156" s="40" t="s">
        <v>14</v>
      </c>
      <c r="C1156" s="17" t="s">
        <v>917</v>
      </c>
      <c r="D1156" s="17" t="s">
        <v>921</v>
      </c>
      <c r="E1156" s="18">
        <f>1.832-0.628</f>
        <v>1.2040000000000002</v>
      </c>
    </row>
    <row r="1157" spans="1:5" ht="17">
      <c r="A1157" s="1" t="s">
        <v>68</v>
      </c>
      <c r="B1157" s="40" t="s">
        <v>14</v>
      </c>
      <c r="C1157" s="17" t="s">
        <v>917</v>
      </c>
      <c r="D1157" s="17" t="s">
        <v>749</v>
      </c>
      <c r="E1157" s="18">
        <f>3.108-0.032-0.752-0.258-1.344-0.382-0.07-0.13</f>
        <v>0.13999999999999974</v>
      </c>
    </row>
    <row r="1158" spans="1:5" ht="17">
      <c r="A1158" s="1" t="s">
        <v>68</v>
      </c>
      <c r="B1158" s="40" t="s">
        <v>14</v>
      </c>
      <c r="C1158" s="17" t="s">
        <v>917</v>
      </c>
      <c r="D1158" s="17" t="s">
        <v>749</v>
      </c>
      <c r="E1158" s="18">
        <f>1.676-0.26-0.038-0.048-0.05-0.348-0.074-0.05-0.168-0.08</f>
        <v>0.55999999999999983</v>
      </c>
    </row>
    <row r="1159" spans="1:5" ht="17">
      <c r="A1159" s="1" t="s">
        <v>68</v>
      </c>
      <c r="B1159" s="40" t="s">
        <v>14</v>
      </c>
      <c r="C1159" s="17" t="s">
        <v>917</v>
      </c>
      <c r="D1159" s="17" t="s">
        <v>749</v>
      </c>
      <c r="E1159" s="18">
        <f>2.044-0.38-0.172-0.076-0.252-0.088</f>
        <v>1.0760000000000001</v>
      </c>
    </row>
    <row r="1160" spans="1:5" ht="17">
      <c r="A1160" s="1" t="s">
        <v>68</v>
      </c>
      <c r="B1160" s="40" t="s">
        <v>14</v>
      </c>
      <c r="C1160" s="17" t="s">
        <v>917</v>
      </c>
      <c r="D1160" s="17" t="s">
        <v>749</v>
      </c>
      <c r="E1160" s="18">
        <f>5.276</f>
        <v>5.2759999999999998</v>
      </c>
    </row>
    <row r="1161" spans="1:5" ht="17">
      <c r="A1161" s="1" t="s">
        <v>68</v>
      </c>
      <c r="B1161" s="40" t="s">
        <v>14</v>
      </c>
      <c r="C1161" s="17" t="s">
        <v>917</v>
      </c>
      <c r="D1161" s="17" t="s">
        <v>834</v>
      </c>
      <c r="E1161" s="18">
        <f>5.486</f>
        <v>5.4859999999999998</v>
      </c>
    </row>
    <row r="1162" spans="1:5" ht="17">
      <c r="A1162" s="1" t="s">
        <v>68</v>
      </c>
      <c r="B1162" s="40" t="s">
        <v>14</v>
      </c>
      <c r="C1162" s="17" t="s">
        <v>917</v>
      </c>
      <c r="D1162" s="27" t="s">
        <v>922</v>
      </c>
      <c r="E1162" s="19">
        <f>0.11-0.066</f>
        <v>4.3999999999999997E-2</v>
      </c>
    </row>
    <row r="1163" spans="1:5" ht="17">
      <c r="A1163" s="1" t="s">
        <v>68</v>
      </c>
      <c r="B1163" s="40" t="s">
        <v>14</v>
      </c>
      <c r="C1163" s="17" t="s">
        <v>917</v>
      </c>
      <c r="D1163" s="27" t="s">
        <v>740</v>
      </c>
      <c r="E1163" s="19">
        <f>4.976-1.224-0.57-0.194-0.198-1.514-0.014-0.382-0.052-0.02-0.228-0.164</f>
        <v>0.41599999999999993</v>
      </c>
    </row>
    <row r="1164" spans="1:5" ht="17">
      <c r="A1164" s="1" t="s">
        <v>68</v>
      </c>
      <c r="B1164" s="40" t="s">
        <v>14</v>
      </c>
      <c r="C1164" s="17" t="s">
        <v>917</v>
      </c>
      <c r="D1164" s="27" t="s">
        <v>740</v>
      </c>
      <c r="E1164" s="19">
        <f>4.113-0.376-0.302-0.092</f>
        <v>3.3430000000000004</v>
      </c>
    </row>
    <row r="1165" spans="1:5" ht="17">
      <c r="A1165" s="1" t="s">
        <v>68</v>
      </c>
      <c r="B1165" s="40" t="s">
        <v>14</v>
      </c>
      <c r="C1165" s="17" t="s">
        <v>917</v>
      </c>
      <c r="D1165" s="27" t="s">
        <v>740</v>
      </c>
      <c r="E1165" s="19">
        <f>1.302</f>
        <v>1.302</v>
      </c>
    </row>
    <row r="1166" spans="1:5" ht="17">
      <c r="A1166" s="1" t="s">
        <v>68</v>
      </c>
      <c r="B1166" s="40" t="s">
        <v>14</v>
      </c>
      <c r="C1166" s="17" t="s">
        <v>917</v>
      </c>
      <c r="D1166" s="27" t="s">
        <v>702</v>
      </c>
      <c r="E1166" s="19">
        <f>2.424-0.652-0.274-0.238-0.022-0.254-0.226-0.114-0.258-0.19</f>
        <v>0.19599999999999979</v>
      </c>
    </row>
    <row r="1167" spans="1:5" ht="17">
      <c r="A1167" s="1" t="s">
        <v>68</v>
      </c>
      <c r="B1167" s="40" t="s">
        <v>14</v>
      </c>
      <c r="C1167" s="17" t="s">
        <v>917</v>
      </c>
      <c r="D1167" s="27" t="s">
        <v>923</v>
      </c>
      <c r="E1167" s="19">
        <f>0.022</f>
        <v>2.1999999999999999E-2</v>
      </c>
    </row>
    <row r="1168" spans="1:5" ht="17">
      <c r="A1168" s="1" t="s">
        <v>68</v>
      </c>
      <c r="B1168" s="40" t="s">
        <v>14</v>
      </c>
      <c r="C1168" s="17" t="s">
        <v>917</v>
      </c>
      <c r="D1168" s="27" t="s">
        <v>924</v>
      </c>
      <c r="E1168" s="19">
        <f>0.17-0.148</f>
        <v>2.200000000000002E-2</v>
      </c>
    </row>
    <row r="1169" spans="1:5" ht="17">
      <c r="A1169" s="1" t="s">
        <v>68</v>
      </c>
      <c r="B1169" s="40" t="s">
        <v>14</v>
      </c>
      <c r="C1169" s="17" t="s">
        <v>917</v>
      </c>
      <c r="D1169" s="27" t="s">
        <v>925</v>
      </c>
      <c r="E1169" s="19">
        <f>0.022</f>
        <v>2.1999999999999999E-2</v>
      </c>
    </row>
    <row r="1170" spans="1:5" ht="17">
      <c r="A1170" s="1" t="s">
        <v>68</v>
      </c>
      <c r="B1170" s="40" t="s">
        <v>14</v>
      </c>
      <c r="C1170" s="17" t="s">
        <v>917</v>
      </c>
      <c r="D1170" s="17" t="s">
        <v>702</v>
      </c>
      <c r="E1170" s="18">
        <f>5.014-1.648</f>
        <v>3.3660000000000005</v>
      </c>
    </row>
    <row r="1171" spans="1:5" ht="17">
      <c r="A1171" s="1" t="s">
        <v>68</v>
      </c>
      <c r="B1171" s="40" t="s">
        <v>14</v>
      </c>
      <c r="C1171" s="17" t="s">
        <v>917</v>
      </c>
      <c r="D1171" s="27" t="s">
        <v>926</v>
      </c>
      <c r="E1171" s="19">
        <f>1.608-0.04-0.114</f>
        <v>1.454</v>
      </c>
    </row>
    <row r="1172" spans="1:5" ht="17">
      <c r="A1172" s="1" t="s">
        <v>68</v>
      </c>
      <c r="B1172" s="40" t="s">
        <v>14</v>
      </c>
      <c r="C1172" s="17" t="s">
        <v>917</v>
      </c>
      <c r="D1172" s="27" t="s">
        <v>926</v>
      </c>
      <c r="E1172" s="19">
        <f>1.678-0.8-0.1-0.072</f>
        <v>0.70599999999999996</v>
      </c>
    </row>
    <row r="1173" spans="1:5" ht="17">
      <c r="A1173" s="1" t="s">
        <v>68</v>
      </c>
      <c r="B1173" s="40" t="s">
        <v>14</v>
      </c>
      <c r="C1173" s="17" t="s">
        <v>917</v>
      </c>
      <c r="D1173" s="27" t="s">
        <v>926</v>
      </c>
      <c r="E1173" s="19">
        <f>1.654</f>
        <v>1.6539999999999999</v>
      </c>
    </row>
    <row r="1174" spans="1:5" ht="17">
      <c r="A1174" s="1" t="s">
        <v>68</v>
      </c>
      <c r="B1174" s="40" t="s">
        <v>14</v>
      </c>
      <c r="C1174" s="17" t="s">
        <v>917</v>
      </c>
      <c r="D1174" s="27" t="s">
        <v>703</v>
      </c>
      <c r="E1174" s="19">
        <f>1.668-0.802-0.306-0.088-0.042-(0.03)-0.056-0.034</f>
        <v>0.30999999999999994</v>
      </c>
    </row>
    <row r="1175" spans="1:5" ht="17">
      <c r="A1175" s="1" t="s">
        <v>68</v>
      </c>
      <c r="B1175" s="40" t="s">
        <v>14</v>
      </c>
      <c r="C1175" s="17" t="s">
        <v>917</v>
      </c>
      <c r="D1175" s="27" t="s">
        <v>703</v>
      </c>
      <c r="E1175" s="19">
        <f>3.37-0.4-0.876-0.46-0.598-0.11-0.128</f>
        <v>0.79800000000000049</v>
      </c>
    </row>
    <row r="1176" spans="1:5" ht="17">
      <c r="A1176" s="1" t="s">
        <v>68</v>
      </c>
      <c r="B1176" s="40" t="s">
        <v>14</v>
      </c>
      <c r="C1176" s="17" t="s">
        <v>917</v>
      </c>
      <c r="D1176" s="27" t="s">
        <v>703</v>
      </c>
      <c r="E1176" s="19">
        <f>4.788</f>
        <v>4.7880000000000003</v>
      </c>
    </row>
    <row r="1177" spans="1:5" ht="17">
      <c r="A1177" s="1" t="s">
        <v>68</v>
      </c>
      <c r="B1177" s="40" t="s">
        <v>14</v>
      </c>
      <c r="C1177" s="14" t="s">
        <v>917</v>
      </c>
      <c r="D1177" s="27" t="s">
        <v>927</v>
      </c>
      <c r="E1177" s="19">
        <f>1.792</f>
        <v>1.792</v>
      </c>
    </row>
    <row r="1178" spans="1:5" ht="17">
      <c r="A1178" s="1" t="s">
        <v>68</v>
      </c>
      <c r="B1178" s="40" t="s">
        <v>14</v>
      </c>
      <c r="C1178" s="14" t="s">
        <v>917</v>
      </c>
      <c r="D1178" s="27" t="s">
        <v>704</v>
      </c>
      <c r="E1178" s="19">
        <f>3.574-1.63-1.008-0.306-0.122</f>
        <v>0.5079999999999999</v>
      </c>
    </row>
    <row r="1179" spans="1:5" ht="17">
      <c r="A1179" s="1" t="s">
        <v>68</v>
      </c>
      <c r="B1179" s="40" t="s">
        <v>14</v>
      </c>
      <c r="C1179" s="14" t="s">
        <v>917</v>
      </c>
      <c r="D1179" s="27" t="s">
        <v>704</v>
      </c>
      <c r="E1179" s="19">
        <f>3.366-0.574-0.952-0.596-0.218</f>
        <v>1.0260000000000002</v>
      </c>
    </row>
    <row r="1180" spans="1:5" ht="17">
      <c r="A1180" s="1" t="s">
        <v>68</v>
      </c>
      <c r="B1180" s="40" t="s">
        <v>14</v>
      </c>
      <c r="C1180" s="14" t="s">
        <v>917</v>
      </c>
      <c r="D1180" s="27" t="s">
        <v>704</v>
      </c>
      <c r="E1180" s="19">
        <f>4.758-0.432-0.856-0.434</f>
        <v>3.0359999999999996</v>
      </c>
    </row>
    <row r="1181" spans="1:5" ht="17">
      <c r="A1181" s="1" t="s">
        <v>68</v>
      </c>
      <c r="B1181" s="40" t="s">
        <v>14</v>
      </c>
      <c r="C1181" s="17" t="s">
        <v>917</v>
      </c>
      <c r="D1181" s="27" t="s">
        <v>928</v>
      </c>
      <c r="E1181" s="19">
        <f>2.21-0.88-0.19-0.112-0.136-(0.008)</f>
        <v>0.88400000000000001</v>
      </c>
    </row>
    <row r="1182" spans="1:5" ht="17">
      <c r="A1182" s="1" t="s">
        <v>68</v>
      </c>
      <c r="B1182" s="40" t="s">
        <v>14</v>
      </c>
      <c r="C1182" s="14" t="s">
        <v>917</v>
      </c>
      <c r="D1182" s="27" t="s">
        <v>929</v>
      </c>
      <c r="E1182" s="19">
        <f>0.112-0.045</f>
        <v>6.7000000000000004E-2</v>
      </c>
    </row>
    <row r="1183" spans="1:5" ht="17">
      <c r="A1183" s="1" t="s">
        <v>68</v>
      </c>
      <c r="B1183" s="40" t="s">
        <v>14</v>
      </c>
      <c r="C1183" s="17" t="s">
        <v>917</v>
      </c>
      <c r="D1183" s="27" t="s">
        <v>930</v>
      </c>
      <c r="E1183" s="19">
        <f>0.136</f>
        <v>0.13600000000000001</v>
      </c>
    </row>
    <row r="1184" spans="1:5" ht="17">
      <c r="A1184" s="1" t="s">
        <v>68</v>
      </c>
      <c r="B1184" s="40" t="s">
        <v>14</v>
      </c>
      <c r="C1184" s="17" t="s">
        <v>917</v>
      </c>
      <c r="D1184" s="27" t="s">
        <v>706</v>
      </c>
      <c r="E1184" s="19">
        <f>2.376-0.406-0.062-0.154-0.328</f>
        <v>1.4259999999999997</v>
      </c>
    </row>
    <row r="1185" spans="1:5" ht="17">
      <c r="A1185" s="1" t="s">
        <v>68</v>
      </c>
      <c r="B1185" s="40" t="s">
        <v>14</v>
      </c>
      <c r="C1185" s="17" t="s">
        <v>917</v>
      </c>
      <c r="D1185" s="27" t="s">
        <v>706</v>
      </c>
      <c r="E1185" s="19">
        <f>0.062-0.038</f>
        <v>2.4E-2</v>
      </c>
    </row>
    <row r="1186" spans="1:5" ht="17">
      <c r="A1186" s="1" t="s">
        <v>68</v>
      </c>
      <c r="B1186" s="40" t="s">
        <v>14</v>
      </c>
      <c r="C1186" s="17" t="s">
        <v>917</v>
      </c>
      <c r="D1186" s="17" t="s">
        <v>706</v>
      </c>
      <c r="E1186" s="18">
        <f>2.864</f>
        <v>2.8639999999999999</v>
      </c>
    </row>
    <row r="1187" spans="1:5" ht="17">
      <c r="A1187" s="1" t="s">
        <v>68</v>
      </c>
      <c r="B1187" s="40" t="s">
        <v>14</v>
      </c>
      <c r="C1187" s="17" t="s">
        <v>917</v>
      </c>
      <c r="D1187" s="27" t="s">
        <v>931</v>
      </c>
      <c r="E1187" s="19">
        <f>2.176-0.134-0.91-0.436-0.144-0.31</f>
        <v>0.24200000000000016</v>
      </c>
    </row>
    <row r="1188" spans="1:5" ht="17">
      <c r="A1188" s="1" t="s">
        <v>68</v>
      </c>
      <c r="B1188" s="40" t="s">
        <v>14</v>
      </c>
      <c r="C1188" s="17" t="s">
        <v>917</v>
      </c>
      <c r="D1188" s="27" t="s">
        <v>932</v>
      </c>
      <c r="E1188" s="19">
        <f>0.362-0.31</f>
        <v>5.1999999999999991E-2</v>
      </c>
    </row>
    <row r="1189" spans="1:5" ht="17">
      <c r="A1189" s="1" t="s">
        <v>68</v>
      </c>
      <c r="B1189" s="40" t="s">
        <v>14</v>
      </c>
      <c r="C1189" s="17" t="s">
        <v>917</v>
      </c>
      <c r="D1189" s="27" t="s">
        <v>707</v>
      </c>
      <c r="E1189" s="19">
        <f>2.72-0.226-0.338-0.042-0.038-0.228-0.584-0.13-0.12-0.444-0.084-0.176</f>
        <v>0.31000000000000072</v>
      </c>
    </row>
    <row r="1190" spans="1:5" ht="17">
      <c r="A1190" s="1" t="s">
        <v>68</v>
      </c>
      <c r="B1190" s="40" t="s">
        <v>14</v>
      </c>
      <c r="C1190" s="17" t="s">
        <v>917</v>
      </c>
      <c r="D1190" s="27" t="s">
        <v>933</v>
      </c>
      <c r="E1190" s="19">
        <f>0.042</f>
        <v>4.2000000000000003E-2</v>
      </c>
    </row>
    <row r="1191" spans="1:5" ht="17">
      <c r="A1191" s="1" t="s">
        <v>68</v>
      </c>
      <c r="B1191" s="40" t="s">
        <v>14</v>
      </c>
      <c r="C1191" s="17" t="s">
        <v>917</v>
      </c>
      <c r="D1191" s="27" t="s">
        <v>707</v>
      </c>
      <c r="E1191" s="19">
        <f>2.43-0.408-0.88-0.83</f>
        <v>0.31200000000000039</v>
      </c>
    </row>
    <row r="1192" spans="1:5" ht="17">
      <c r="A1192" s="1" t="s">
        <v>68</v>
      </c>
      <c r="B1192" s="40" t="s">
        <v>14</v>
      </c>
      <c r="C1192" s="17" t="s">
        <v>917</v>
      </c>
      <c r="D1192" s="27" t="s">
        <v>707</v>
      </c>
      <c r="E1192" s="19">
        <f>2.816</f>
        <v>2.8159999999999998</v>
      </c>
    </row>
    <row r="1193" spans="1:5" ht="17">
      <c r="A1193" s="1" t="s">
        <v>68</v>
      </c>
      <c r="B1193" s="40" t="s">
        <v>14</v>
      </c>
      <c r="C1193" s="17" t="s">
        <v>917</v>
      </c>
      <c r="D1193" s="27" t="s">
        <v>934</v>
      </c>
      <c r="E1193" s="19">
        <f>2.604-0.486-0.09-0.25-0.086-0.356-0.144-0.716</f>
        <v>0.47600000000000042</v>
      </c>
    </row>
    <row r="1194" spans="1:5" ht="17">
      <c r="A1194" s="1" t="s">
        <v>68</v>
      </c>
      <c r="B1194" s="40" t="s">
        <v>14</v>
      </c>
      <c r="C1194" s="17" t="s">
        <v>917</v>
      </c>
      <c r="D1194" s="27" t="s">
        <v>935</v>
      </c>
      <c r="E1194" s="19">
        <f>0.09</f>
        <v>0.09</v>
      </c>
    </row>
    <row r="1195" spans="1:5" ht="17">
      <c r="A1195" s="1" t="s">
        <v>68</v>
      </c>
      <c r="B1195" s="40" t="s">
        <v>14</v>
      </c>
      <c r="C1195" s="17" t="s">
        <v>917</v>
      </c>
      <c r="D1195" s="27" t="s">
        <v>935</v>
      </c>
      <c r="E1195" s="19">
        <f>0.144-0.084-0.016-0.016</f>
        <v>2.7999999999999983E-2</v>
      </c>
    </row>
    <row r="1196" spans="1:5" ht="17">
      <c r="A1196" s="1" t="s">
        <v>68</v>
      </c>
      <c r="B1196" s="40" t="s">
        <v>14</v>
      </c>
      <c r="C1196" s="17" t="s">
        <v>917</v>
      </c>
      <c r="D1196" s="27" t="s">
        <v>936</v>
      </c>
      <c r="E1196" s="19">
        <f>0.016</f>
        <v>1.6E-2</v>
      </c>
    </row>
    <row r="1197" spans="1:5" ht="17">
      <c r="A1197" s="1" t="s">
        <v>68</v>
      </c>
      <c r="B1197" s="40" t="s">
        <v>14</v>
      </c>
      <c r="C1197" s="17" t="s">
        <v>917</v>
      </c>
      <c r="D1197" s="27" t="s">
        <v>934</v>
      </c>
      <c r="E1197" s="19">
        <f>2.936-0.15-0.512</f>
        <v>2.274</v>
      </c>
    </row>
    <row r="1198" spans="1:5" ht="17">
      <c r="A1198" s="1" t="s">
        <v>68</v>
      </c>
      <c r="B1198" s="40" t="s">
        <v>14</v>
      </c>
      <c r="C1198" s="17" t="s">
        <v>917</v>
      </c>
      <c r="D1198" s="27" t="s">
        <v>937</v>
      </c>
      <c r="E1198" s="19">
        <f>0.052</f>
        <v>5.1999999999999998E-2</v>
      </c>
    </row>
    <row r="1199" spans="1:5" ht="17">
      <c r="A1199" s="1" t="s">
        <v>68</v>
      </c>
      <c r="B1199" s="40" t="s">
        <v>14</v>
      </c>
      <c r="C1199" s="17" t="s">
        <v>917</v>
      </c>
      <c r="D1199" s="27" t="s">
        <v>938</v>
      </c>
      <c r="E1199" s="19">
        <f>0.044</f>
        <v>4.3999999999999997E-2</v>
      </c>
    </row>
    <row r="1200" spans="1:5" ht="17">
      <c r="A1200" s="1" t="s">
        <v>68</v>
      </c>
      <c r="B1200" s="40" t="s">
        <v>14</v>
      </c>
      <c r="C1200" s="17" t="s">
        <v>917</v>
      </c>
      <c r="D1200" s="27" t="s">
        <v>939</v>
      </c>
      <c r="E1200" s="19">
        <f>0.456-0.394</f>
        <v>6.2E-2</v>
      </c>
    </row>
    <row r="1201" spans="1:5" ht="17">
      <c r="A1201" s="1" t="s">
        <v>68</v>
      </c>
      <c r="B1201" s="40" t="s">
        <v>14</v>
      </c>
      <c r="C1201" s="17" t="s">
        <v>917</v>
      </c>
      <c r="D1201" s="27" t="s">
        <v>940</v>
      </c>
      <c r="E1201" s="19">
        <f>3.286</f>
        <v>3.286</v>
      </c>
    </row>
    <row r="1202" spans="1:5" ht="17">
      <c r="A1202" s="1" t="s">
        <v>68</v>
      </c>
      <c r="B1202" s="40" t="s">
        <v>14</v>
      </c>
      <c r="C1202" s="17" t="s">
        <v>917</v>
      </c>
      <c r="D1202" s="27" t="s">
        <v>711</v>
      </c>
      <c r="E1202" s="19">
        <f>3.322-0.206-0.454-1.896-(0.194)</f>
        <v>0.57200000000000006</v>
      </c>
    </row>
    <row r="1203" spans="1:5" ht="17">
      <c r="A1203" s="1" t="s">
        <v>68</v>
      </c>
      <c r="B1203" s="40" t="s">
        <v>14</v>
      </c>
      <c r="C1203" s="17" t="s">
        <v>917</v>
      </c>
      <c r="D1203" s="27" t="s">
        <v>941</v>
      </c>
      <c r="E1203" s="19">
        <f>0.206-0.152</f>
        <v>5.3999999999999992E-2</v>
      </c>
    </row>
    <row r="1204" spans="1:5" ht="17">
      <c r="A1204" s="1" t="s">
        <v>68</v>
      </c>
      <c r="B1204" s="40" t="s">
        <v>14</v>
      </c>
      <c r="C1204" s="17" t="s">
        <v>917</v>
      </c>
      <c r="D1204" s="27" t="s">
        <v>711</v>
      </c>
      <c r="E1204" s="19">
        <f>2.886-1.113-0.6</f>
        <v>1.173</v>
      </c>
    </row>
    <row r="1205" spans="1:5" ht="17">
      <c r="A1205" s="1" t="s">
        <v>68</v>
      </c>
      <c r="B1205" s="40" t="s">
        <v>14</v>
      </c>
      <c r="C1205" s="17" t="s">
        <v>917</v>
      </c>
      <c r="D1205" s="27" t="s">
        <v>942</v>
      </c>
      <c r="E1205" s="19">
        <f>0.584-0.502</f>
        <v>8.1999999999999962E-2</v>
      </c>
    </row>
    <row r="1206" spans="1:5" ht="17">
      <c r="A1206" s="1" t="s">
        <v>68</v>
      </c>
      <c r="B1206" s="40" t="s">
        <v>14</v>
      </c>
      <c r="C1206" s="17" t="s">
        <v>917</v>
      </c>
      <c r="D1206" s="27" t="s">
        <v>943</v>
      </c>
      <c r="E1206" s="19">
        <f>3.522-0.574-1.284-0.724-0.154</f>
        <v>0.78599999999999992</v>
      </c>
    </row>
    <row r="1207" spans="1:5" ht="17">
      <c r="A1207" s="1" t="s">
        <v>68</v>
      </c>
      <c r="B1207" s="40" t="s">
        <v>14</v>
      </c>
      <c r="C1207" s="17" t="s">
        <v>917</v>
      </c>
      <c r="D1207" s="27" t="s">
        <v>943</v>
      </c>
      <c r="E1207" s="19">
        <f>4.556</f>
        <v>4.556</v>
      </c>
    </row>
    <row r="1208" spans="1:5" ht="17">
      <c r="A1208" s="1" t="s">
        <v>68</v>
      </c>
      <c r="B1208" s="40" t="s">
        <v>14</v>
      </c>
      <c r="C1208" s="17" t="s">
        <v>917</v>
      </c>
      <c r="D1208" s="17" t="s">
        <v>944</v>
      </c>
      <c r="E1208" s="18">
        <f>4.54-0.65-0.16-0.338-0.346-0.814-0.782-0.126</f>
        <v>1.3239999999999998</v>
      </c>
    </row>
    <row r="1209" spans="1:5" ht="17">
      <c r="A1209" s="1" t="s">
        <v>68</v>
      </c>
      <c r="B1209" s="40" t="s">
        <v>14</v>
      </c>
      <c r="C1209" s="17" t="s">
        <v>917</v>
      </c>
      <c r="D1209" s="17" t="s">
        <v>944</v>
      </c>
      <c r="E1209" s="18">
        <f>4.176</f>
        <v>4.1760000000000002</v>
      </c>
    </row>
    <row r="1210" spans="1:5" ht="17">
      <c r="A1210" s="1" t="s">
        <v>68</v>
      </c>
      <c r="B1210" s="40" t="s">
        <v>14</v>
      </c>
      <c r="C1210" s="17" t="s">
        <v>917</v>
      </c>
      <c r="D1210" s="26" t="s">
        <v>945</v>
      </c>
      <c r="E1210" s="19">
        <f>5.276-2.504-0.988-0.18-0.13</f>
        <v>1.4739999999999998</v>
      </c>
    </row>
    <row r="1211" spans="1:5" ht="17">
      <c r="A1211" s="1" t="s">
        <v>68</v>
      </c>
      <c r="B1211" s="40" t="s">
        <v>14</v>
      </c>
      <c r="C1211" s="17" t="s">
        <v>917</v>
      </c>
      <c r="D1211" s="26" t="s">
        <v>945</v>
      </c>
      <c r="E1211" s="19">
        <f>0.18-0.09</f>
        <v>0.09</v>
      </c>
    </row>
    <row r="1212" spans="1:5" ht="17">
      <c r="A1212" s="1" t="s">
        <v>68</v>
      </c>
      <c r="B1212" s="40" t="s">
        <v>14</v>
      </c>
      <c r="C1212" s="17" t="s">
        <v>917</v>
      </c>
      <c r="D1212" s="26" t="s">
        <v>945</v>
      </c>
      <c r="E1212" s="19">
        <f>5.224-2.958</f>
        <v>2.266</v>
      </c>
    </row>
    <row r="1213" spans="1:5" ht="17">
      <c r="A1213" s="1" t="s">
        <v>68</v>
      </c>
      <c r="B1213" s="40" t="s">
        <v>14</v>
      </c>
      <c r="C1213" s="17" t="s">
        <v>917</v>
      </c>
      <c r="D1213" s="26" t="s">
        <v>946</v>
      </c>
      <c r="E1213" s="19">
        <f>4.298-2.708</f>
        <v>1.5899999999999999</v>
      </c>
    </row>
    <row r="1214" spans="1:5" ht="17">
      <c r="A1214" s="1" t="s">
        <v>68</v>
      </c>
      <c r="B1214" s="40" t="s">
        <v>14</v>
      </c>
      <c r="C1214" s="17" t="s">
        <v>917</v>
      </c>
      <c r="D1214" s="26" t="s">
        <v>947</v>
      </c>
      <c r="E1214" s="19">
        <f>5.04-2.462-0.366-0.25</f>
        <v>1.9619999999999997</v>
      </c>
    </row>
    <row r="1215" spans="1:5" ht="17">
      <c r="A1215" s="1" t="s">
        <v>68</v>
      </c>
      <c r="B1215" s="40" t="s">
        <v>14</v>
      </c>
      <c r="C1215" s="17" t="s">
        <v>917</v>
      </c>
      <c r="D1215" s="26" t="s">
        <v>948</v>
      </c>
      <c r="E1215" s="19">
        <f>3.698-2.578-0.312-0.07</f>
        <v>0.73799999999999999</v>
      </c>
    </row>
    <row r="1216" spans="1:5" ht="17">
      <c r="A1216" s="1" t="s">
        <v>68</v>
      </c>
      <c r="B1216" s="40" t="s">
        <v>14</v>
      </c>
      <c r="C1216" s="17" t="s">
        <v>917</v>
      </c>
      <c r="D1216" s="26" t="s">
        <v>948</v>
      </c>
      <c r="E1216" s="19">
        <f>0.312-0.132</f>
        <v>0.18</v>
      </c>
    </row>
    <row r="1217" spans="1:5" ht="17">
      <c r="A1217" s="1" t="s">
        <v>68</v>
      </c>
      <c r="B1217" s="40" t="s">
        <v>14</v>
      </c>
      <c r="C1217" s="17" t="s">
        <v>917</v>
      </c>
      <c r="D1217" s="26" t="s">
        <v>949</v>
      </c>
      <c r="E1217" s="19">
        <f>4.436-0.044-0.842-1.208-0.204-0.538</f>
        <v>1.6000000000000003</v>
      </c>
    </row>
    <row r="1218" spans="1:5" ht="17">
      <c r="A1218" s="1" t="s">
        <v>68</v>
      </c>
      <c r="B1218" s="40" t="s">
        <v>14</v>
      </c>
      <c r="C1218" s="17" t="s">
        <v>917</v>
      </c>
      <c r="D1218" s="26" t="s">
        <v>950</v>
      </c>
      <c r="E1218" s="19">
        <f>13.386-1.77-2.414-1.638-0.492-1.942</f>
        <v>5.13</v>
      </c>
    </row>
    <row r="1219" spans="1:5" ht="17">
      <c r="A1219" s="1" t="s">
        <v>68</v>
      </c>
      <c r="B1219" s="27" t="s">
        <v>52</v>
      </c>
      <c r="C1219" s="14" t="s">
        <v>917</v>
      </c>
      <c r="D1219" s="17">
        <v>101</v>
      </c>
      <c r="E1219" s="18">
        <f>0.846</f>
        <v>0.84599999999999997</v>
      </c>
    </row>
    <row r="1220" spans="1:5" ht="17">
      <c r="A1220" s="1" t="s">
        <v>68</v>
      </c>
      <c r="B1220" s="27" t="s">
        <v>14</v>
      </c>
      <c r="C1220" s="14" t="s">
        <v>917</v>
      </c>
      <c r="D1220" s="17">
        <v>141</v>
      </c>
      <c r="E1220" s="18">
        <f>1.236-0.376</f>
        <v>0.86</v>
      </c>
    </row>
    <row r="1221" spans="1:5" ht="17">
      <c r="A1221" s="1" t="s">
        <v>68</v>
      </c>
      <c r="B1221" s="27" t="s">
        <v>52</v>
      </c>
      <c r="C1221" s="14" t="s">
        <v>917</v>
      </c>
      <c r="D1221" s="17">
        <v>162</v>
      </c>
      <c r="E1221" s="18">
        <f>0.574</f>
        <v>0.57399999999999995</v>
      </c>
    </row>
    <row r="1222" spans="1:5" ht="17">
      <c r="A1222" s="1" t="s">
        <v>68</v>
      </c>
      <c r="B1222" s="27" t="s">
        <v>52</v>
      </c>
      <c r="C1222" s="14" t="s">
        <v>917</v>
      </c>
      <c r="D1222" s="17">
        <v>162</v>
      </c>
      <c r="E1222" s="18">
        <f>0.642</f>
        <v>0.64200000000000002</v>
      </c>
    </row>
    <row r="1223" spans="1:5" ht="17">
      <c r="A1223" s="1" t="s">
        <v>68</v>
      </c>
      <c r="B1223" s="27" t="s">
        <v>52</v>
      </c>
      <c r="C1223" s="14" t="s">
        <v>917</v>
      </c>
      <c r="D1223" s="17">
        <v>182</v>
      </c>
      <c r="E1223" s="18">
        <f>11.15-10</f>
        <v>1.1500000000000004</v>
      </c>
    </row>
    <row r="1224" spans="1:5" ht="17">
      <c r="A1224" s="1" t="s">
        <v>68</v>
      </c>
      <c r="B1224" s="27" t="s">
        <v>52</v>
      </c>
      <c r="C1224" s="14" t="s">
        <v>917</v>
      </c>
      <c r="D1224" s="17">
        <v>192</v>
      </c>
      <c r="E1224" s="18">
        <f>1.212-0.668</f>
        <v>0.54399999999999993</v>
      </c>
    </row>
    <row r="1225" spans="1:5" ht="17">
      <c r="A1225" s="1" t="s">
        <v>68</v>
      </c>
      <c r="B1225" s="27" t="s">
        <v>52</v>
      </c>
      <c r="C1225" s="14" t="s">
        <v>917</v>
      </c>
      <c r="D1225" s="17">
        <v>192</v>
      </c>
      <c r="E1225" s="18">
        <f>1.284</f>
        <v>1.284</v>
      </c>
    </row>
    <row r="1226" spans="1:5" ht="17">
      <c r="A1226" s="1" t="s">
        <v>68</v>
      </c>
      <c r="B1226" s="27" t="s">
        <v>52</v>
      </c>
      <c r="C1226" s="14" t="s">
        <v>917</v>
      </c>
      <c r="D1226" s="17">
        <v>207</v>
      </c>
      <c r="E1226" s="18">
        <f>6.078-2.998-1.002</f>
        <v>2.0780000000000003</v>
      </c>
    </row>
    <row r="1227" spans="1:5" ht="17">
      <c r="A1227" s="1" t="s">
        <v>68</v>
      </c>
      <c r="B1227" s="27" t="s">
        <v>52</v>
      </c>
      <c r="C1227" s="14" t="s">
        <v>917</v>
      </c>
      <c r="D1227" s="17">
        <v>207</v>
      </c>
      <c r="E1227" s="18">
        <f>6.078-2.998-1.002</f>
        <v>2.0780000000000003</v>
      </c>
    </row>
    <row r="1228" spans="1:5" ht="17">
      <c r="A1228" s="1" t="s">
        <v>68</v>
      </c>
      <c r="B1228" s="27" t="s">
        <v>52</v>
      </c>
      <c r="C1228" s="14" t="s">
        <v>917</v>
      </c>
      <c r="D1228" s="17">
        <v>242</v>
      </c>
      <c r="E1228" s="18">
        <f>4.928-1.176-2.482</f>
        <v>1.2699999999999996</v>
      </c>
    </row>
    <row r="1229" spans="1:5" ht="17">
      <c r="A1229" s="1" t="s">
        <v>68</v>
      </c>
      <c r="B1229" s="27" t="s">
        <v>52</v>
      </c>
      <c r="C1229" s="14" t="s">
        <v>917</v>
      </c>
      <c r="D1229" s="17">
        <v>257</v>
      </c>
      <c r="E1229" s="18">
        <f>3.384</f>
        <v>3.3839999999999999</v>
      </c>
    </row>
    <row r="1230" spans="1:5" ht="17">
      <c r="A1230" s="1" t="s">
        <v>68</v>
      </c>
      <c r="B1230" s="27" t="s">
        <v>52</v>
      </c>
      <c r="C1230" s="14" t="s">
        <v>917</v>
      </c>
      <c r="D1230" s="17">
        <v>262</v>
      </c>
      <c r="E1230" s="18">
        <f>4.062-(0.288)- (0.7)-0.748</f>
        <v>2.3260000000000005</v>
      </c>
    </row>
    <row r="1231" spans="1:5" ht="17">
      <c r="A1231" s="1" t="s">
        <v>68</v>
      </c>
      <c r="B1231" s="27" t="s">
        <v>52</v>
      </c>
      <c r="C1231" s="14" t="s">
        <v>917</v>
      </c>
      <c r="D1231" s="17">
        <v>262</v>
      </c>
      <c r="E1231" s="18">
        <f>2.488</f>
        <v>2.488</v>
      </c>
    </row>
    <row r="1232" spans="1:5" ht="17">
      <c r="A1232" s="1" t="s">
        <v>68</v>
      </c>
      <c r="B1232" s="27" t="s">
        <v>52</v>
      </c>
      <c r="C1232" s="14" t="s">
        <v>917</v>
      </c>
      <c r="D1232" s="17">
        <v>272</v>
      </c>
      <c r="E1232" s="18">
        <f>5.776-(0.41)-(0.794)-3.746</f>
        <v>0.82599999999999918</v>
      </c>
    </row>
    <row r="1233" spans="1:5" ht="17">
      <c r="A1233" s="1" t="s">
        <v>68</v>
      </c>
      <c r="B1233" s="27" t="s">
        <v>52</v>
      </c>
      <c r="C1233" s="14" t="s">
        <v>917</v>
      </c>
      <c r="D1233" s="17">
        <v>282</v>
      </c>
      <c r="E1233" s="18">
        <f>1.988</f>
        <v>1.988</v>
      </c>
    </row>
    <row r="1234" spans="1:5" ht="17">
      <c r="A1234" s="1" t="s">
        <v>68</v>
      </c>
      <c r="B1234" s="27" t="s">
        <v>52</v>
      </c>
      <c r="C1234" s="14" t="s">
        <v>917</v>
      </c>
      <c r="D1234" s="17">
        <v>282</v>
      </c>
      <c r="E1234" s="18">
        <f>1.532</f>
        <v>1.532</v>
      </c>
    </row>
    <row r="1235" spans="1:5" ht="17">
      <c r="A1235" s="1" t="s">
        <v>68</v>
      </c>
      <c r="B1235" s="27" t="s">
        <v>52</v>
      </c>
      <c r="C1235" s="14" t="s">
        <v>917</v>
      </c>
      <c r="D1235" s="17">
        <v>282</v>
      </c>
      <c r="E1235" s="18">
        <f>1.536</f>
        <v>1.536</v>
      </c>
    </row>
    <row r="1236" spans="1:5" ht="17">
      <c r="A1236" s="1" t="s">
        <v>68</v>
      </c>
      <c r="B1236" s="27" t="s">
        <v>52</v>
      </c>
      <c r="C1236" s="14" t="s">
        <v>917</v>
      </c>
      <c r="D1236" s="17">
        <v>292</v>
      </c>
      <c r="E1236" s="18">
        <f>3.394</f>
        <v>3.3940000000000001</v>
      </c>
    </row>
    <row r="1237" spans="1:5" ht="17">
      <c r="A1237" s="1" t="s">
        <v>68</v>
      </c>
      <c r="B1237" s="27" t="s">
        <v>52</v>
      </c>
      <c r="C1237" s="14" t="s">
        <v>917</v>
      </c>
      <c r="D1237" s="17">
        <v>303</v>
      </c>
      <c r="E1237" s="18">
        <f>2.118</f>
        <v>2.1179999999999999</v>
      </c>
    </row>
    <row r="1238" spans="1:5" ht="17">
      <c r="A1238" s="1" t="s">
        <v>68</v>
      </c>
      <c r="B1238" s="27" t="s">
        <v>52</v>
      </c>
      <c r="C1238" s="14" t="s">
        <v>917</v>
      </c>
      <c r="D1238" s="17">
        <v>313</v>
      </c>
      <c r="E1238" s="18">
        <f>4.102</f>
        <v>4.1020000000000003</v>
      </c>
    </row>
    <row r="1239" spans="1:5" ht="17">
      <c r="A1239" s="1" t="s">
        <v>68</v>
      </c>
      <c r="B1239" s="27" t="s">
        <v>52</v>
      </c>
      <c r="C1239" s="14" t="s">
        <v>917</v>
      </c>
      <c r="D1239" s="17">
        <v>333</v>
      </c>
      <c r="E1239" s="18">
        <f>4.782</f>
        <v>4.782</v>
      </c>
    </row>
    <row r="1240" spans="1:5" ht="17">
      <c r="A1240" s="1" t="s">
        <v>68</v>
      </c>
      <c r="B1240" s="27" t="s">
        <v>52</v>
      </c>
      <c r="C1240" s="14" t="s">
        <v>917</v>
      </c>
      <c r="D1240" s="17">
        <v>333</v>
      </c>
      <c r="E1240" s="18">
        <f>5.176</f>
        <v>5.1760000000000002</v>
      </c>
    </row>
    <row r="1241" spans="1:5" ht="17">
      <c r="A1241" s="1" t="s">
        <v>68</v>
      </c>
      <c r="B1241" s="27" t="s">
        <v>52</v>
      </c>
      <c r="C1241" s="14" t="s">
        <v>917</v>
      </c>
      <c r="D1241" s="17">
        <v>353</v>
      </c>
      <c r="E1241" s="18">
        <f>8.804-1.002-3.802</f>
        <v>4</v>
      </c>
    </row>
    <row r="1242" spans="1:5" ht="17">
      <c r="A1242" s="1" t="s">
        <v>68</v>
      </c>
      <c r="B1242" s="27" t="s">
        <v>52</v>
      </c>
      <c r="C1242" s="14" t="s">
        <v>917</v>
      </c>
      <c r="D1242" s="17">
        <v>383</v>
      </c>
      <c r="E1242" s="18">
        <f>5.49-(0.154)-(0.754)</f>
        <v>4.5820000000000007</v>
      </c>
    </row>
    <row r="1243" spans="1:5" ht="17">
      <c r="A1243" s="1" t="s">
        <v>68</v>
      </c>
      <c r="B1243" s="27" t="s">
        <v>52</v>
      </c>
      <c r="C1243" s="14" t="s">
        <v>917</v>
      </c>
      <c r="D1243" s="17">
        <v>403</v>
      </c>
      <c r="E1243" s="18">
        <f>5.236-3.236</f>
        <v>1.9999999999999996</v>
      </c>
    </row>
    <row r="1244" spans="1:5" ht="17">
      <c r="A1244" s="1" t="s">
        <v>68</v>
      </c>
      <c r="B1244" s="27" t="s">
        <v>52</v>
      </c>
      <c r="C1244" s="14" t="s">
        <v>917</v>
      </c>
      <c r="D1244" s="17">
        <v>403</v>
      </c>
      <c r="E1244" s="18">
        <f>8.498</f>
        <v>8.4979999999999993</v>
      </c>
    </row>
    <row r="1245" spans="1:5" ht="17">
      <c r="A1245" s="1" t="s">
        <v>68</v>
      </c>
      <c r="B1245" s="27" t="s">
        <v>14</v>
      </c>
      <c r="C1245" s="14" t="s">
        <v>917</v>
      </c>
      <c r="D1245" s="17">
        <v>423</v>
      </c>
      <c r="E1245" s="18">
        <f>3.422-1.116</f>
        <v>2.306</v>
      </c>
    </row>
    <row r="1246" spans="1:5" ht="17">
      <c r="A1246" s="1" t="s">
        <v>68</v>
      </c>
      <c r="B1246" s="27" t="s">
        <v>14</v>
      </c>
      <c r="C1246" s="14" t="s">
        <v>917</v>
      </c>
      <c r="D1246" s="17">
        <v>453</v>
      </c>
      <c r="E1246" s="18">
        <f>6.664-2.53-1.164</f>
        <v>2.9700000000000006</v>
      </c>
    </row>
    <row r="1247" spans="1:5" ht="17">
      <c r="A1247" s="1" t="s">
        <v>68</v>
      </c>
      <c r="B1247" s="27" t="s">
        <v>14</v>
      </c>
      <c r="C1247" s="14" t="s">
        <v>917</v>
      </c>
      <c r="D1247" s="17">
        <v>453</v>
      </c>
      <c r="E1247" s="18">
        <f>6.944</f>
        <v>6.944</v>
      </c>
    </row>
    <row r="1248" spans="1:5" ht="17">
      <c r="A1248" s="1" t="s">
        <v>68</v>
      </c>
      <c r="B1248" s="27" t="s">
        <v>14</v>
      </c>
      <c r="C1248" s="14" t="s">
        <v>917</v>
      </c>
      <c r="D1248" s="17">
        <v>463</v>
      </c>
      <c r="E1248" s="18">
        <f>5.088-3.088</f>
        <v>2</v>
      </c>
    </row>
    <row r="1249" spans="1:5" ht="17">
      <c r="A1249" s="1" t="s">
        <v>68</v>
      </c>
      <c r="B1249" s="27" t="s">
        <v>14</v>
      </c>
      <c r="C1249" s="14" t="s">
        <v>917</v>
      </c>
      <c r="D1249" s="17">
        <v>483</v>
      </c>
      <c r="E1249" s="18">
        <f>5.208</f>
        <v>5.2080000000000002</v>
      </c>
    </row>
    <row r="1250" spans="1:5" ht="17">
      <c r="A1250" s="1" t="s">
        <v>68</v>
      </c>
      <c r="B1250" s="27" t="s">
        <v>14</v>
      </c>
      <c r="C1250" s="14" t="s">
        <v>917</v>
      </c>
      <c r="D1250" s="17">
        <v>502</v>
      </c>
      <c r="E1250" s="18">
        <f>9.292-7.292</f>
        <v>2</v>
      </c>
    </row>
    <row r="1251" spans="1:5" ht="17">
      <c r="A1251" s="1" t="s">
        <v>68</v>
      </c>
      <c r="B1251" s="27" t="s">
        <v>14</v>
      </c>
      <c r="C1251" s="14" t="s">
        <v>917</v>
      </c>
      <c r="D1251" s="17">
        <v>503</v>
      </c>
      <c r="E1251" s="18">
        <f>5.482</f>
        <v>5.4820000000000002</v>
      </c>
    </row>
    <row r="1252" spans="1:5" ht="17">
      <c r="A1252" s="1" t="s">
        <v>68</v>
      </c>
      <c r="B1252" s="27" t="s">
        <v>14</v>
      </c>
      <c r="C1252" s="14" t="s">
        <v>917</v>
      </c>
      <c r="D1252" s="17">
        <v>523</v>
      </c>
      <c r="E1252" s="18">
        <f>5.354-1.088-0.29-0.308</f>
        <v>3.6680000000000001</v>
      </c>
    </row>
    <row r="1253" spans="1:5" ht="17">
      <c r="A1253" s="1" t="s">
        <v>68</v>
      </c>
      <c r="B1253" s="27" t="s">
        <v>14</v>
      </c>
      <c r="C1253" s="14" t="s">
        <v>917</v>
      </c>
      <c r="D1253" s="17">
        <v>553</v>
      </c>
      <c r="E1253" s="18">
        <f>6</f>
        <v>6</v>
      </c>
    </row>
    <row r="1254" spans="1:5" ht="17">
      <c r="A1254" s="1" t="s">
        <v>68</v>
      </c>
      <c r="B1254" s="27" t="s">
        <v>14</v>
      </c>
      <c r="C1254" s="14" t="s">
        <v>917</v>
      </c>
      <c r="D1254" s="17">
        <v>563</v>
      </c>
      <c r="E1254" s="18">
        <f>5.29-(0.128)-1.206</f>
        <v>3.956</v>
      </c>
    </row>
    <row r="1255" spans="1:5" ht="17">
      <c r="A1255" s="1" t="s">
        <v>68</v>
      </c>
      <c r="B1255" s="27" t="s">
        <v>14</v>
      </c>
      <c r="C1255" s="14" t="s">
        <v>917</v>
      </c>
      <c r="D1255" s="17">
        <v>603</v>
      </c>
      <c r="E1255" s="18">
        <f>5.172-0.727-0.478-1.64</f>
        <v>2.327</v>
      </c>
    </row>
    <row r="1256" spans="1:5" ht="17">
      <c r="A1256" s="1" t="s">
        <v>68</v>
      </c>
      <c r="B1256" s="27" t="s">
        <v>55</v>
      </c>
      <c r="C1256" s="17" t="s">
        <v>917</v>
      </c>
      <c r="D1256" s="17">
        <v>112</v>
      </c>
      <c r="E1256" s="18">
        <f>0.684-(0.212)</f>
        <v>0.47200000000000009</v>
      </c>
    </row>
    <row r="1257" spans="1:5" ht="17">
      <c r="A1257" s="1" t="s">
        <v>68</v>
      </c>
      <c r="B1257" s="27" t="s">
        <v>55</v>
      </c>
      <c r="C1257" s="17" t="s">
        <v>917</v>
      </c>
      <c r="D1257" s="17">
        <v>112</v>
      </c>
      <c r="E1257" s="18">
        <f>0.992-0.506</f>
        <v>0.48599999999999999</v>
      </c>
    </row>
    <row r="1258" spans="1:5" ht="17">
      <c r="A1258" s="1" t="s">
        <v>68</v>
      </c>
      <c r="B1258" s="27" t="s">
        <v>55</v>
      </c>
      <c r="C1258" s="17" t="s">
        <v>917</v>
      </c>
      <c r="D1258" s="17">
        <v>112</v>
      </c>
      <c r="E1258" s="18">
        <f>1.034</f>
        <v>1.034</v>
      </c>
    </row>
    <row r="1259" spans="1:5" ht="17">
      <c r="A1259" s="1" t="s">
        <v>68</v>
      </c>
      <c r="B1259" s="27" t="s">
        <v>55</v>
      </c>
      <c r="C1259" s="17" t="s">
        <v>917</v>
      </c>
      <c r="D1259" s="17">
        <v>126</v>
      </c>
      <c r="E1259" s="18">
        <f>0.588</f>
        <v>0.58799999999999997</v>
      </c>
    </row>
    <row r="1260" spans="1:5" ht="17">
      <c r="A1260" s="1" t="s">
        <v>68</v>
      </c>
      <c r="B1260" s="27" t="s">
        <v>28</v>
      </c>
      <c r="C1260" s="17" t="s">
        <v>917</v>
      </c>
      <c r="D1260" s="17">
        <v>141</v>
      </c>
      <c r="E1260" s="18">
        <f>0.754-0.376</f>
        <v>0.378</v>
      </c>
    </row>
    <row r="1261" spans="1:5" ht="17">
      <c r="A1261" s="1" t="s">
        <v>68</v>
      </c>
      <c r="B1261" s="27" t="s">
        <v>55</v>
      </c>
      <c r="C1261" s="17" t="s">
        <v>917</v>
      </c>
      <c r="D1261" s="17">
        <v>142</v>
      </c>
      <c r="E1261" s="18">
        <f>1.632</f>
        <v>1.6319999999999999</v>
      </c>
    </row>
    <row r="1262" spans="1:5" ht="17">
      <c r="A1262" s="1" t="s">
        <v>68</v>
      </c>
      <c r="B1262" s="27" t="s">
        <v>28</v>
      </c>
      <c r="C1262" s="17" t="s">
        <v>917</v>
      </c>
      <c r="D1262" s="17">
        <v>152</v>
      </c>
      <c r="E1262" s="18">
        <f>0.966-0.504</f>
        <v>0.46199999999999997</v>
      </c>
    </row>
    <row r="1263" spans="1:5" ht="17">
      <c r="A1263" s="1" t="s">
        <v>68</v>
      </c>
      <c r="B1263" s="27" t="s">
        <v>55</v>
      </c>
      <c r="C1263" s="17" t="s">
        <v>917</v>
      </c>
      <c r="D1263" s="17">
        <v>161</v>
      </c>
      <c r="E1263" s="18">
        <f>0.894</f>
        <v>0.89400000000000002</v>
      </c>
    </row>
    <row r="1264" spans="1:5" ht="17">
      <c r="A1264" s="1" t="s">
        <v>68</v>
      </c>
      <c r="B1264" s="27" t="s">
        <v>55</v>
      </c>
      <c r="C1264" s="17" t="s">
        <v>917</v>
      </c>
      <c r="D1264" s="17">
        <v>162</v>
      </c>
      <c r="E1264" s="18">
        <f>3.748-0.508</f>
        <v>3.24</v>
      </c>
    </row>
    <row r="1265" spans="1:5" ht="17">
      <c r="A1265" s="1" t="s">
        <v>68</v>
      </c>
      <c r="B1265" s="27" t="s">
        <v>55</v>
      </c>
      <c r="C1265" s="14" t="s">
        <v>917</v>
      </c>
      <c r="D1265" s="17">
        <v>162</v>
      </c>
      <c r="E1265" s="18">
        <f>0.626</f>
        <v>0.626</v>
      </c>
    </row>
    <row r="1266" spans="1:5" ht="17">
      <c r="A1266" s="1" t="s">
        <v>68</v>
      </c>
      <c r="B1266" s="27" t="s">
        <v>55</v>
      </c>
      <c r="C1266" s="17" t="s">
        <v>917</v>
      </c>
      <c r="D1266" s="17">
        <v>182</v>
      </c>
      <c r="E1266" s="18">
        <f>3.426-2.132-0.334</f>
        <v>0.96</v>
      </c>
    </row>
    <row r="1267" spans="1:5" ht="17">
      <c r="A1267" s="1" t="s">
        <v>68</v>
      </c>
      <c r="B1267" s="27" t="s">
        <v>55</v>
      </c>
      <c r="C1267" s="17" t="s">
        <v>917</v>
      </c>
      <c r="D1267" s="17">
        <v>192</v>
      </c>
      <c r="E1267" s="18">
        <f>2.892-2.128</f>
        <v>0.76399999999999979</v>
      </c>
    </row>
    <row r="1268" spans="1:5" ht="17">
      <c r="A1268" s="1" t="s">
        <v>68</v>
      </c>
      <c r="B1268" s="27" t="s">
        <v>55</v>
      </c>
      <c r="C1268" s="17" t="s">
        <v>917</v>
      </c>
      <c r="D1268" s="17">
        <v>192</v>
      </c>
      <c r="E1268" s="18">
        <f>4.52-0.652</f>
        <v>3.8679999999999994</v>
      </c>
    </row>
    <row r="1269" spans="1:5" ht="17">
      <c r="A1269" s="1" t="s">
        <v>68</v>
      </c>
      <c r="B1269" s="27" t="s">
        <v>55</v>
      </c>
      <c r="C1269" s="17" t="s">
        <v>917</v>
      </c>
      <c r="D1269" s="17">
        <v>207</v>
      </c>
      <c r="E1269" s="18">
        <f>1.37</f>
        <v>1.37</v>
      </c>
    </row>
    <row r="1270" spans="1:5" ht="17">
      <c r="A1270" s="1" t="s">
        <v>68</v>
      </c>
      <c r="B1270" s="27" t="s">
        <v>55</v>
      </c>
      <c r="C1270" s="17" t="s">
        <v>917</v>
      </c>
      <c r="D1270" s="17">
        <v>217</v>
      </c>
      <c r="E1270" s="18">
        <f>3.57-1.964</f>
        <v>1.6059999999999999</v>
      </c>
    </row>
    <row r="1271" spans="1:5" ht="17">
      <c r="A1271" s="1" t="s">
        <v>68</v>
      </c>
      <c r="B1271" s="27" t="s">
        <v>55</v>
      </c>
      <c r="C1271" s="17" t="s">
        <v>917</v>
      </c>
      <c r="D1271" s="17">
        <v>222</v>
      </c>
      <c r="E1271" s="18">
        <f>1.752</f>
        <v>1.752</v>
      </c>
    </row>
    <row r="1272" spans="1:5" ht="17">
      <c r="A1272" s="1" t="s">
        <v>68</v>
      </c>
      <c r="B1272" s="27" t="s">
        <v>55</v>
      </c>
      <c r="C1272" s="17" t="s">
        <v>917</v>
      </c>
      <c r="D1272" s="17">
        <v>222</v>
      </c>
      <c r="E1272" s="18">
        <f>3.022-1.016</f>
        <v>2.0059999999999998</v>
      </c>
    </row>
    <row r="1273" spans="1:5" ht="17">
      <c r="A1273" s="1" t="s">
        <v>68</v>
      </c>
      <c r="B1273" s="27" t="s">
        <v>55</v>
      </c>
      <c r="C1273" s="17" t="s">
        <v>917</v>
      </c>
      <c r="D1273" s="17">
        <v>222</v>
      </c>
      <c r="E1273" s="18">
        <f>0.996</f>
        <v>0.996</v>
      </c>
    </row>
    <row r="1274" spans="1:5" ht="17">
      <c r="A1274" s="1" t="s">
        <v>68</v>
      </c>
      <c r="B1274" s="27" t="s">
        <v>55</v>
      </c>
      <c r="C1274" s="17" t="s">
        <v>917</v>
      </c>
      <c r="D1274" s="17">
        <v>222</v>
      </c>
      <c r="E1274" s="18">
        <f>5.792</f>
        <v>5.7919999999999998</v>
      </c>
    </row>
    <row r="1275" spans="1:5" ht="17">
      <c r="A1275" s="1" t="s">
        <v>68</v>
      </c>
      <c r="B1275" s="27" t="s">
        <v>55</v>
      </c>
      <c r="C1275" s="17" t="s">
        <v>917</v>
      </c>
      <c r="D1275" s="17">
        <v>232</v>
      </c>
      <c r="E1275" s="18">
        <f>14.114-2.19-2.094-2.94-(0.74)-(0.352)-(0.135)-(0.22)-(0.236)-(0.11)-(0.226)-1.657</f>
        <v>3.2140000000000022</v>
      </c>
    </row>
    <row r="1276" spans="1:5" ht="17">
      <c r="A1276" s="1" t="s">
        <v>68</v>
      </c>
      <c r="B1276" s="27" t="s">
        <v>55</v>
      </c>
      <c r="C1276" s="17" t="s">
        <v>917</v>
      </c>
      <c r="D1276" s="17">
        <v>242</v>
      </c>
      <c r="E1276" s="18">
        <f>4.854-2.408-(0.724)</f>
        <v>1.7220000000000002</v>
      </c>
    </row>
    <row r="1277" spans="1:5" ht="17">
      <c r="A1277" s="1" t="s">
        <v>68</v>
      </c>
      <c r="B1277" s="23" t="s">
        <v>28</v>
      </c>
      <c r="C1277" s="17" t="s">
        <v>917</v>
      </c>
      <c r="D1277" s="37">
        <v>262</v>
      </c>
      <c r="E1277" s="18">
        <f>9.542-2.628-2.66-2.728</f>
        <v>1.5259999999999994</v>
      </c>
    </row>
    <row r="1278" spans="1:5" ht="17">
      <c r="A1278" s="1" t="s">
        <v>68</v>
      </c>
      <c r="B1278" s="23" t="s">
        <v>28</v>
      </c>
      <c r="C1278" s="17" t="s">
        <v>917</v>
      </c>
      <c r="D1278" s="37">
        <v>272</v>
      </c>
      <c r="E1278" s="18">
        <f>4.826-1.55-1.629-0.77</f>
        <v>0.87699999999999978</v>
      </c>
    </row>
    <row r="1279" spans="1:5" ht="17">
      <c r="A1279" s="1" t="s">
        <v>68</v>
      </c>
      <c r="B1279" s="23" t="s">
        <v>55</v>
      </c>
      <c r="C1279" s="17" t="s">
        <v>917</v>
      </c>
      <c r="D1279" s="37">
        <v>272</v>
      </c>
      <c r="E1279" s="18">
        <f>2.182</f>
        <v>2.1819999999999999</v>
      </c>
    </row>
    <row r="1280" spans="1:5" ht="17">
      <c r="A1280" s="1" t="s">
        <v>68</v>
      </c>
      <c r="B1280" s="27" t="s">
        <v>55</v>
      </c>
      <c r="C1280" s="14" t="s">
        <v>917</v>
      </c>
      <c r="D1280" s="17">
        <v>272</v>
      </c>
      <c r="E1280" s="18">
        <f>2.992</f>
        <v>2.992</v>
      </c>
    </row>
    <row r="1281" spans="1:5" ht="17">
      <c r="A1281" s="1" t="s">
        <v>68</v>
      </c>
      <c r="B1281" s="23" t="s">
        <v>55</v>
      </c>
      <c r="C1281" s="17" t="s">
        <v>917</v>
      </c>
      <c r="D1281" s="37">
        <v>292</v>
      </c>
      <c r="E1281" s="18">
        <f>4.17-(0.042)-1.926</f>
        <v>2.202</v>
      </c>
    </row>
    <row r="1282" spans="1:5" ht="17">
      <c r="A1282" s="1" t="s">
        <v>68</v>
      </c>
      <c r="B1282" s="27" t="s">
        <v>28</v>
      </c>
      <c r="C1282" s="17" t="s">
        <v>917</v>
      </c>
      <c r="D1282" s="17">
        <v>303</v>
      </c>
      <c r="E1282" s="18">
        <f>12.592-2.15-2.288-7.5</f>
        <v>0.65399999999999991</v>
      </c>
    </row>
    <row r="1283" spans="1:5" ht="17">
      <c r="A1283" s="1" t="s">
        <v>68</v>
      </c>
      <c r="B1283" s="27" t="s">
        <v>55</v>
      </c>
      <c r="C1283" s="17" t="s">
        <v>917</v>
      </c>
      <c r="D1283" s="17">
        <v>333</v>
      </c>
      <c r="E1283" s="18">
        <f>2.844</f>
        <v>2.8439999999999999</v>
      </c>
    </row>
    <row r="1284" spans="1:5" ht="17">
      <c r="A1284" s="1" t="s">
        <v>68</v>
      </c>
      <c r="B1284" s="27" t="s">
        <v>55</v>
      </c>
      <c r="C1284" s="17" t="s">
        <v>917</v>
      </c>
      <c r="D1284" s="17">
        <v>353</v>
      </c>
      <c r="E1284" s="18">
        <f>4.75-1.948</f>
        <v>2.802</v>
      </c>
    </row>
    <row r="1285" spans="1:5" ht="17">
      <c r="A1285" s="1" t="s">
        <v>68</v>
      </c>
      <c r="B1285" s="27" t="s">
        <v>55</v>
      </c>
      <c r="C1285" s="17" t="s">
        <v>917</v>
      </c>
      <c r="D1285" s="17">
        <v>382</v>
      </c>
      <c r="E1285" s="18">
        <f>6.556</f>
        <v>6.556</v>
      </c>
    </row>
    <row r="1286" spans="1:5" ht="17">
      <c r="A1286" s="1" t="s">
        <v>68</v>
      </c>
      <c r="B1286" s="23" t="s">
        <v>55</v>
      </c>
      <c r="C1286" s="17" t="s">
        <v>917</v>
      </c>
      <c r="D1286" s="37">
        <v>453</v>
      </c>
      <c r="E1286" s="18">
        <f>10.186-2.014-1.51-2.262-1.158-2.349</f>
        <v>0.89300000000000024</v>
      </c>
    </row>
    <row r="1287" spans="1:5" ht="17">
      <c r="A1287" s="1" t="s">
        <v>68</v>
      </c>
      <c r="B1287" s="23" t="s">
        <v>55</v>
      </c>
      <c r="C1287" s="17" t="s">
        <v>917</v>
      </c>
      <c r="D1287" s="37">
        <v>463</v>
      </c>
      <c r="E1287" s="18">
        <f>5.552-1.972-1.552</f>
        <v>2.0279999999999996</v>
      </c>
    </row>
    <row r="1288" spans="1:5" ht="17">
      <c r="A1288" s="1" t="s">
        <v>68</v>
      </c>
      <c r="B1288" s="23" t="s">
        <v>28</v>
      </c>
      <c r="C1288" s="17" t="s">
        <v>917</v>
      </c>
      <c r="D1288" s="37">
        <v>463</v>
      </c>
      <c r="E1288" s="18">
        <f>5.406-1.97</f>
        <v>3.4359999999999999</v>
      </c>
    </row>
    <row r="1289" spans="1:5" ht="17">
      <c r="A1289" s="1" t="s">
        <v>68</v>
      </c>
      <c r="B1289" s="23" t="s">
        <v>55</v>
      </c>
      <c r="C1289" s="17" t="s">
        <v>917</v>
      </c>
      <c r="D1289" s="37">
        <v>473</v>
      </c>
      <c r="E1289" s="18">
        <f>5.37-3.37</f>
        <v>2</v>
      </c>
    </row>
    <row r="1290" spans="1:5" ht="17">
      <c r="A1290" s="1" t="s">
        <v>68</v>
      </c>
      <c r="B1290" s="27" t="s">
        <v>28</v>
      </c>
      <c r="C1290" s="17" t="s">
        <v>917</v>
      </c>
      <c r="D1290" s="17">
        <v>612</v>
      </c>
      <c r="E1290" s="18">
        <f>6.47-3</f>
        <v>3.4699999999999998</v>
      </c>
    </row>
    <row r="1291" spans="1:5" ht="17">
      <c r="A1291" s="1" t="s">
        <v>68</v>
      </c>
      <c r="B1291" s="27" t="s">
        <v>28</v>
      </c>
      <c r="C1291" s="17" t="s">
        <v>917</v>
      </c>
      <c r="D1291" s="17">
        <v>653</v>
      </c>
      <c r="E1291" s="18">
        <f>6.66-1.648-3</f>
        <v>2.0120000000000005</v>
      </c>
    </row>
    <row r="1292" spans="1:5" ht="17">
      <c r="A1292" s="1" t="s">
        <v>68</v>
      </c>
      <c r="B1292" s="27" t="s">
        <v>28</v>
      </c>
      <c r="C1292" s="14" t="s">
        <v>728</v>
      </c>
      <c r="D1292" s="17" t="s">
        <v>692</v>
      </c>
      <c r="E1292" s="18">
        <f>2.756</f>
        <v>2.7559999999999998</v>
      </c>
    </row>
    <row r="1293" spans="1:5" ht="17">
      <c r="A1293" s="1" t="s">
        <v>68</v>
      </c>
      <c r="B1293" s="27" t="s">
        <v>28</v>
      </c>
      <c r="C1293" s="14" t="s">
        <v>728</v>
      </c>
      <c r="D1293" s="17" t="s">
        <v>951</v>
      </c>
      <c r="E1293" s="18">
        <f>2.07</f>
        <v>2.0699999999999998</v>
      </c>
    </row>
    <row r="1294" spans="1:5" ht="17">
      <c r="A1294" s="1" t="s">
        <v>68</v>
      </c>
      <c r="B1294" s="27" t="s">
        <v>28</v>
      </c>
      <c r="C1294" s="14" t="s">
        <v>728</v>
      </c>
      <c r="D1294" s="17" t="s">
        <v>769</v>
      </c>
      <c r="E1294" s="18">
        <f>2.683-0.667</f>
        <v>2.016</v>
      </c>
    </row>
    <row r="1295" spans="1:5" ht="17">
      <c r="A1295" s="1" t="s">
        <v>68</v>
      </c>
      <c r="B1295" s="27" t="s">
        <v>28</v>
      </c>
      <c r="C1295" s="17" t="s">
        <v>917</v>
      </c>
      <c r="D1295" s="17" t="s">
        <v>760</v>
      </c>
      <c r="E1295" s="18">
        <f>1.382-0.622-0.266-0.188</f>
        <v>0.30599999999999988</v>
      </c>
    </row>
    <row r="1296" spans="1:5" ht="17">
      <c r="A1296" s="1" t="s">
        <v>68</v>
      </c>
      <c r="B1296" s="27" t="s">
        <v>28</v>
      </c>
      <c r="C1296" s="17" t="s">
        <v>917</v>
      </c>
      <c r="D1296" s="17" t="s">
        <v>952</v>
      </c>
      <c r="E1296" s="18">
        <f>3.528</f>
        <v>3.528</v>
      </c>
    </row>
    <row r="1297" spans="1:5" ht="17">
      <c r="A1297" s="1" t="s">
        <v>68</v>
      </c>
      <c r="B1297" s="27" t="s">
        <v>57</v>
      </c>
      <c r="C1297" s="26" t="s">
        <v>709</v>
      </c>
      <c r="D1297" s="17" t="s">
        <v>953</v>
      </c>
      <c r="E1297" s="18">
        <f>1.989</f>
        <v>1.9890000000000001</v>
      </c>
    </row>
    <row r="1298" spans="1:5" ht="17">
      <c r="A1298" s="1" t="s">
        <v>68</v>
      </c>
      <c r="B1298" s="27" t="s">
        <v>57</v>
      </c>
      <c r="C1298" s="26" t="s">
        <v>709</v>
      </c>
      <c r="D1298" s="17" t="s">
        <v>954</v>
      </c>
      <c r="E1298" s="18">
        <f>1.734-0.29</f>
        <v>1.444</v>
      </c>
    </row>
    <row r="1299" spans="1:5" ht="17">
      <c r="A1299" s="1" t="s">
        <v>68</v>
      </c>
      <c r="B1299" s="27" t="s">
        <v>57</v>
      </c>
      <c r="C1299" s="26" t="s">
        <v>709</v>
      </c>
      <c r="D1299" s="17" t="s">
        <v>955</v>
      </c>
      <c r="E1299" s="18">
        <f>4.978-1.782</f>
        <v>3.1959999999999997</v>
      </c>
    </row>
    <row r="1300" spans="1:5" ht="17">
      <c r="A1300" s="1" t="s">
        <v>68</v>
      </c>
      <c r="B1300" s="27" t="s">
        <v>34</v>
      </c>
      <c r="C1300" s="14" t="s">
        <v>709</v>
      </c>
      <c r="D1300" s="17">
        <v>70</v>
      </c>
      <c r="E1300" s="18">
        <f>1.772-0.015-0.035-0.035-0.071</f>
        <v>1.6160000000000003</v>
      </c>
    </row>
    <row r="1301" spans="1:5" ht="17">
      <c r="A1301" s="1" t="s">
        <v>68</v>
      </c>
      <c r="B1301" s="27" t="s">
        <v>34</v>
      </c>
      <c r="C1301" s="14" t="s">
        <v>709</v>
      </c>
      <c r="D1301" s="17">
        <v>90</v>
      </c>
      <c r="E1301" s="18">
        <f>1.38</f>
        <v>1.38</v>
      </c>
    </row>
    <row r="1302" spans="1:5" ht="17">
      <c r="A1302" s="1" t="s">
        <v>68</v>
      </c>
      <c r="B1302" s="27" t="s">
        <v>36</v>
      </c>
      <c r="C1302" s="14" t="s">
        <v>709</v>
      </c>
      <c r="D1302" s="17">
        <v>100</v>
      </c>
      <c r="E1302" s="18">
        <f>3.186-0.537-0.543-0.032-0.262-0.067-0.133-0.4-0.48</f>
        <v>0.73199999999999976</v>
      </c>
    </row>
    <row r="1303" spans="1:5" ht="17">
      <c r="A1303" s="1" t="s">
        <v>68</v>
      </c>
      <c r="B1303" s="27" t="s">
        <v>34</v>
      </c>
      <c r="C1303" s="14" t="s">
        <v>709</v>
      </c>
      <c r="D1303" s="17">
        <v>120</v>
      </c>
      <c r="E1303" s="18">
        <f>2.072-0.062-0.356-0.02</f>
        <v>1.6340000000000003</v>
      </c>
    </row>
    <row r="1304" spans="1:5" ht="17">
      <c r="A1304" s="1" t="s">
        <v>68</v>
      </c>
      <c r="B1304" s="27" t="s">
        <v>34</v>
      </c>
      <c r="C1304" s="14" t="s">
        <v>709</v>
      </c>
      <c r="D1304" s="17">
        <v>160</v>
      </c>
      <c r="E1304" s="18">
        <f>4.048</f>
        <v>4.048</v>
      </c>
    </row>
    <row r="1305" spans="1:5" ht="17">
      <c r="A1305" s="1" t="s">
        <v>68</v>
      </c>
      <c r="B1305" s="27" t="s">
        <v>34</v>
      </c>
      <c r="C1305" s="14" t="s">
        <v>709</v>
      </c>
      <c r="D1305" s="17">
        <v>180</v>
      </c>
      <c r="E1305" s="18">
        <f>4.43</f>
        <v>4.43</v>
      </c>
    </row>
    <row r="1306" spans="1:5" ht="17">
      <c r="A1306" s="1" t="s">
        <v>68</v>
      </c>
      <c r="B1306" s="27" t="s">
        <v>34</v>
      </c>
      <c r="C1306" s="14" t="s">
        <v>709</v>
      </c>
      <c r="D1306" s="17">
        <v>210</v>
      </c>
      <c r="E1306" s="18">
        <f>3.308-0.142-0.356</f>
        <v>2.81</v>
      </c>
    </row>
    <row r="1307" spans="1:5" ht="17">
      <c r="A1307" s="1" t="s">
        <v>68</v>
      </c>
      <c r="B1307" s="27" t="s">
        <v>34</v>
      </c>
      <c r="C1307" s="14" t="s">
        <v>709</v>
      </c>
      <c r="D1307" s="17">
        <v>220</v>
      </c>
      <c r="E1307" s="18">
        <f>3.308-0.606-1.67</f>
        <v>1.032</v>
      </c>
    </row>
    <row r="1308" spans="1:5" ht="17">
      <c r="A1308" s="1" t="s">
        <v>68</v>
      </c>
      <c r="B1308" s="27" t="s">
        <v>34</v>
      </c>
      <c r="C1308" s="14" t="s">
        <v>709</v>
      </c>
      <c r="D1308" s="17">
        <v>220</v>
      </c>
      <c r="E1308" s="18">
        <f>1.702</f>
        <v>1.702</v>
      </c>
    </row>
    <row r="1309" spans="1:5" ht="17">
      <c r="A1309" s="1" t="s">
        <v>68</v>
      </c>
      <c r="B1309" s="27" t="s">
        <v>34</v>
      </c>
      <c r="C1309" s="14" t="s">
        <v>709</v>
      </c>
      <c r="D1309" s="17">
        <v>230</v>
      </c>
      <c r="E1309" s="18">
        <f>2.931</f>
        <v>2.931</v>
      </c>
    </row>
    <row r="1310" spans="1:5" ht="17">
      <c r="A1310" s="1" t="s">
        <v>68</v>
      </c>
      <c r="B1310" s="27" t="s">
        <v>34</v>
      </c>
      <c r="C1310" s="14" t="s">
        <v>709</v>
      </c>
      <c r="D1310" s="17">
        <v>240</v>
      </c>
      <c r="E1310" s="18">
        <f>1.65</f>
        <v>1.65</v>
      </c>
    </row>
    <row r="1311" spans="1:5" ht="17">
      <c r="A1311" s="1" t="s">
        <v>68</v>
      </c>
      <c r="B1311" s="27" t="s">
        <v>34</v>
      </c>
      <c r="C1311" s="14" t="s">
        <v>709</v>
      </c>
      <c r="D1311" s="17">
        <v>260</v>
      </c>
      <c r="E1311" s="18">
        <f>2.55</f>
        <v>2.5499999999999998</v>
      </c>
    </row>
    <row r="1312" spans="1:5" ht="17">
      <c r="A1312" s="1" t="s">
        <v>68</v>
      </c>
      <c r="B1312" s="27" t="s">
        <v>34</v>
      </c>
      <c r="C1312" s="14" t="s">
        <v>709</v>
      </c>
      <c r="D1312" s="17">
        <v>280</v>
      </c>
      <c r="E1312" s="18">
        <f>2.564</f>
        <v>2.5640000000000001</v>
      </c>
    </row>
    <row r="1313" spans="1:5" ht="17">
      <c r="A1313" s="1" t="s">
        <v>68</v>
      </c>
      <c r="B1313" s="27" t="s">
        <v>34</v>
      </c>
      <c r="C1313" s="14" t="s">
        <v>709</v>
      </c>
      <c r="D1313" s="17">
        <v>325</v>
      </c>
      <c r="E1313" s="18">
        <f>3.548-1.764</f>
        <v>1.784</v>
      </c>
    </row>
    <row r="1314" spans="1:5" ht="17">
      <c r="A1314" s="1" t="s">
        <v>68</v>
      </c>
      <c r="B1314" s="27" t="s">
        <v>34</v>
      </c>
      <c r="C1314" s="14" t="s">
        <v>709</v>
      </c>
      <c r="D1314" s="17">
        <v>340</v>
      </c>
      <c r="E1314" s="18">
        <f>3.544</f>
        <v>3.544</v>
      </c>
    </row>
    <row r="1315" spans="1:5" ht="17">
      <c r="A1315" s="1" t="s">
        <v>68</v>
      </c>
      <c r="B1315" s="27" t="s">
        <v>34</v>
      </c>
      <c r="C1315" s="14" t="s">
        <v>709</v>
      </c>
      <c r="D1315" s="17">
        <v>375</v>
      </c>
      <c r="E1315" s="18">
        <f>3.564</f>
        <v>3.5640000000000001</v>
      </c>
    </row>
    <row r="1316" spans="1:5" ht="17">
      <c r="A1316" s="1" t="s">
        <v>68</v>
      </c>
      <c r="B1316" s="27" t="s">
        <v>34</v>
      </c>
      <c r="C1316" s="14" t="s">
        <v>709</v>
      </c>
      <c r="D1316" s="17">
        <v>560</v>
      </c>
      <c r="E1316" s="18">
        <f>6.772-3.385</f>
        <v>3.3870000000000005</v>
      </c>
    </row>
    <row r="1317" spans="1:5" ht="17">
      <c r="A1317" s="1" t="s">
        <v>68</v>
      </c>
      <c r="B1317" s="27" t="s">
        <v>34</v>
      </c>
      <c r="C1317" s="14" t="s">
        <v>709</v>
      </c>
      <c r="D1317" s="17">
        <v>650</v>
      </c>
      <c r="E1317" s="18">
        <f>10.576-5.462</f>
        <v>5.1140000000000008</v>
      </c>
    </row>
    <row r="1318" spans="1:5" ht="17">
      <c r="A1318" s="1" t="s">
        <v>68</v>
      </c>
      <c r="B1318" s="27" t="s">
        <v>34</v>
      </c>
      <c r="C1318" s="14" t="s">
        <v>728</v>
      </c>
      <c r="D1318" s="17" t="s">
        <v>956</v>
      </c>
      <c r="E1318" s="18">
        <f>2.59-0.256-0.06</f>
        <v>2.2739999999999996</v>
      </c>
    </row>
    <row r="1319" spans="1:5" ht="17">
      <c r="A1319" s="1" t="s">
        <v>68</v>
      </c>
      <c r="B1319" s="27" t="s">
        <v>34</v>
      </c>
      <c r="C1319" s="14" t="s">
        <v>728</v>
      </c>
      <c r="D1319" s="17" t="s">
        <v>957</v>
      </c>
      <c r="E1319" s="18">
        <f>2.586-0.256</f>
        <v>2.33</v>
      </c>
    </row>
    <row r="1320" spans="1:5" ht="17">
      <c r="A1320" s="1" t="s">
        <v>68</v>
      </c>
      <c r="B1320" s="27" t="s">
        <v>36</v>
      </c>
      <c r="C1320" s="14" t="s">
        <v>709</v>
      </c>
      <c r="D1320" s="17" t="s">
        <v>760</v>
      </c>
      <c r="E1320" s="18">
        <f>2.237-0.426</f>
        <v>1.8110000000000002</v>
      </c>
    </row>
    <row r="1321" spans="1:5" ht="17">
      <c r="A1321" s="1" t="s">
        <v>68</v>
      </c>
      <c r="B1321" s="27" t="s">
        <v>36</v>
      </c>
      <c r="C1321" s="14" t="s">
        <v>709</v>
      </c>
      <c r="D1321" s="17" t="s">
        <v>749</v>
      </c>
      <c r="E1321" s="18">
        <f>2.211-0.526-0.182-0.36-0.092-0.34</f>
        <v>0.71099999999999963</v>
      </c>
    </row>
    <row r="1322" spans="1:5" ht="17">
      <c r="A1322" s="1" t="s">
        <v>68</v>
      </c>
      <c r="B1322" s="27" t="s">
        <v>36</v>
      </c>
      <c r="C1322" s="14" t="s">
        <v>709</v>
      </c>
      <c r="D1322" s="17" t="s">
        <v>740</v>
      </c>
      <c r="E1322" s="18">
        <f>2.667-0.325-0.622</f>
        <v>1.7199999999999998</v>
      </c>
    </row>
    <row r="1323" spans="1:5" ht="17">
      <c r="A1323" s="1" t="s">
        <v>68</v>
      </c>
      <c r="B1323" s="27" t="s">
        <v>34</v>
      </c>
      <c r="C1323" s="14" t="s">
        <v>709</v>
      </c>
      <c r="D1323" s="17" t="s">
        <v>934</v>
      </c>
      <c r="E1323" s="18">
        <f>2.636-0.238-0.658</f>
        <v>1.7400000000000002</v>
      </c>
    </row>
    <row r="1324" spans="1:5" ht="17">
      <c r="A1324" s="1" t="s">
        <v>68</v>
      </c>
      <c r="B1324" s="27" t="s">
        <v>34</v>
      </c>
      <c r="C1324" s="14" t="s">
        <v>709</v>
      </c>
      <c r="D1324" s="17" t="s">
        <v>711</v>
      </c>
      <c r="E1324" s="18">
        <f>2.654-0.254</f>
        <v>2.4</v>
      </c>
    </row>
    <row r="1325" spans="1:5" ht="17">
      <c r="A1325" s="1" t="s">
        <v>68</v>
      </c>
      <c r="B1325" s="27" t="s">
        <v>36</v>
      </c>
      <c r="C1325" s="14" t="s">
        <v>709</v>
      </c>
      <c r="D1325" s="17" t="s">
        <v>958</v>
      </c>
      <c r="E1325" s="18">
        <f>1.808-1.002-0.462-0.15-(0.118)</f>
        <v>7.600000000000004E-2</v>
      </c>
    </row>
    <row r="1326" spans="1:5" ht="17">
      <c r="A1326" s="1" t="s">
        <v>68</v>
      </c>
      <c r="B1326" s="27" t="s">
        <v>36</v>
      </c>
      <c r="C1326" s="14" t="s">
        <v>709</v>
      </c>
      <c r="D1326" s="17" t="s">
        <v>959</v>
      </c>
      <c r="E1326" s="18">
        <f>6.388-1.244-1.186-0.45-0.628-0.898-0.248-0.146-0.152-0.136-0.216-0.202-0.148-0.146-0.12-0.25-(0.062)</f>
        <v>0.15599999999999986</v>
      </c>
    </row>
    <row r="1327" spans="1:5" ht="17">
      <c r="A1327" s="1" t="s">
        <v>68</v>
      </c>
      <c r="B1327" s="27" t="s">
        <v>34</v>
      </c>
      <c r="C1327" s="14" t="s">
        <v>709</v>
      </c>
      <c r="D1327" s="17" t="s">
        <v>948</v>
      </c>
      <c r="E1327" s="18">
        <f>5.83-1.46-0.262</f>
        <v>4.1080000000000005</v>
      </c>
    </row>
    <row r="1328" spans="1:5" ht="17">
      <c r="A1328" s="1" t="s">
        <v>68</v>
      </c>
      <c r="B1328" s="27" t="s">
        <v>36</v>
      </c>
      <c r="C1328" s="14" t="s">
        <v>709</v>
      </c>
      <c r="D1328" s="17" t="s">
        <v>960</v>
      </c>
      <c r="E1328" s="18">
        <f>1.038-0.44-0.492-(0.028)</f>
        <v>7.8000000000000097E-2</v>
      </c>
    </row>
    <row r="1329" spans="1:5" ht="17">
      <c r="A1329" s="1" t="s">
        <v>68</v>
      </c>
      <c r="B1329" s="14" t="s">
        <v>26</v>
      </c>
      <c r="C1329" s="14" t="s">
        <v>709</v>
      </c>
      <c r="D1329" s="14" t="s">
        <v>749</v>
      </c>
      <c r="E1329" s="16">
        <f>2.97-0.068-0.518</f>
        <v>2.3840000000000003</v>
      </c>
    </row>
    <row r="1330" spans="1:5" ht="17">
      <c r="A1330" s="1" t="s">
        <v>68</v>
      </c>
      <c r="B1330" s="14" t="s">
        <v>26</v>
      </c>
      <c r="C1330" s="14" t="s">
        <v>709</v>
      </c>
      <c r="D1330" s="14" t="s">
        <v>702</v>
      </c>
      <c r="E1330" s="16">
        <f>1.9-0.322</f>
        <v>1.5779999999999998</v>
      </c>
    </row>
    <row r="1331" spans="1:5" ht="17">
      <c r="A1331" s="1" t="s">
        <v>68</v>
      </c>
      <c r="B1331" s="14" t="s">
        <v>26</v>
      </c>
      <c r="C1331" s="14" t="s">
        <v>709</v>
      </c>
      <c r="D1331" s="14" t="s">
        <v>703</v>
      </c>
      <c r="E1331" s="16">
        <f>1.912-0.024-0.02-0.067</f>
        <v>1.8009999999999999</v>
      </c>
    </row>
    <row r="1332" spans="1:5" ht="17">
      <c r="A1332" s="1" t="s">
        <v>68</v>
      </c>
      <c r="B1332" s="14" t="s">
        <v>26</v>
      </c>
      <c r="C1332" s="14" t="s">
        <v>709</v>
      </c>
      <c r="D1332" s="14" t="s">
        <v>704</v>
      </c>
      <c r="E1332" s="16">
        <f>3.552-0.044-0.366-0.108</f>
        <v>3.0339999999999998</v>
      </c>
    </row>
    <row r="1333" spans="1:5" ht="17">
      <c r="A1333" s="1" t="s">
        <v>68</v>
      </c>
      <c r="B1333" s="14" t="s">
        <v>26</v>
      </c>
      <c r="C1333" s="14" t="s">
        <v>709</v>
      </c>
      <c r="D1333" s="14" t="s">
        <v>706</v>
      </c>
      <c r="E1333" s="16">
        <f>2.47-0.72-0.722</f>
        <v>1.0280000000000002</v>
      </c>
    </row>
    <row r="1334" spans="1:5" ht="17">
      <c r="A1334" s="1" t="s">
        <v>68</v>
      </c>
      <c r="B1334" s="14" t="s">
        <v>26</v>
      </c>
      <c r="C1334" s="14" t="s">
        <v>709</v>
      </c>
      <c r="D1334" s="14" t="s">
        <v>711</v>
      </c>
      <c r="E1334" s="16">
        <f>2.798-0.826-0.8</f>
        <v>1.1719999999999999</v>
      </c>
    </row>
    <row r="1335" spans="1:5" ht="17">
      <c r="A1335" s="1" t="s">
        <v>68</v>
      </c>
      <c r="B1335" s="27" t="s">
        <v>35</v>
      </c>
      <c r="C1335" s="14" t="s">
        <v>837</v>
      </c>
      <c r="D1335" s="17">
        <v>30</v>
      </c>
      <c r="E1335" s="18">
        <f>0.255-0.021-0.022</f>
        <v>0.21200000000000002</v>
      </c>
    </row>
    <row r="1336" spans="1:5" ht="17">
      <c r="A1336" s="1" t="s">
        <v>68</v>
      </c>
      <c r="B1336" s="27" t="s">
        <v>35</v>
      </c>
      <c r="C1336" s="14" t="s">
        <v>728</v>
      </c>
      <c r="D1336" s="17" t="s">
        <v>687</v>
      </c>
      <c r="E1336" s="18">
        <f>3.858-0.226-0.646-0.056-0.016-0.232-0.028-0.06-0.11-0.014-0.16-0.058-0.014-0.408-0.036</f>
        <v>1.7940000000000005</v>
      </c>
    </row>
    <row r="1337" spans="1:5" ht="17">
      <c r="A1337" s="1" t="s">
        <v>68</v>
      </c>
      <c r="B1337" s="27" t="s">
        <v>35</v>
      </c>
      <c r="C1337" s="14" t="s">
        <v>728</v>
      </c>
      <c r="D1337" s="17" t="s">
        <v>961</v>
      </c>
      <c r="E1337" s="18">
        <f>1.63</f>
        <v>1.63</v>
      </c>
    </row>
    <row r="1338" spans="1:5" ht="17">
      <c r="A1338" s="1" t="s">
        <v>68</v>
      </c>
      <c r="B1338" s="27" t="s">
        <v>35</v>
      </c>
      <c r="C1338" s="14" t="s">
        <v>728</v>
      </c>
      <c r="D1338" s="17" t="s">
        <v>962</v>
      </c>
      <c r="E1338" s="18">
        <f>1.356-0.443</f>
        <v>0.91300000000000003</v>
      </c>
    </row>
    <row r="1339" spans="1:5" ht="17">
      <c r="A1339" s="1" t="s">
        <v>68</v>
      </c>
      <c r="B1339" s="27" t="s">
        <v>35</v>
      </c>
      <c r="C1339" s="14" t="s">
        <v>728</v>
      </c>
      <c r="D1339" s="17" t="s">
        <v>691</v>
      </c>
      <c r="E1339" s="18">
        <f>1.86-0.274-0.1-0.54</f>
        <v>0.94599999999999995</v>
      </c>
    </row>
    <row r="1340" spans="1:5" ht="17">
      <c r="A1340" s="1" t="s">
        <v>68</v>
      </c>
      <c r="B1340" s="27" t="s">
        <v>35</v>
      </c>
      <c r="C1340" s="14" t="s">
        <v>728</v>
      </c>
      <c r="D1340" s="17" t="s">
        <v>692</v>
      </c>
      <c r="E1340" s="18">
        <f>1.658-0.124-0.66-0.666</f>
        <v>0.20799999999999974</v>
      </c>
    </row>
    <row r="1341" spans="1:5" ht="17">
      <c r="A1341" s="1" t="s">
        <v>68</v>
      </c>
      <c r="B1341" s="27" t="s">
        <v>35</v>
      </c>
      <c r="C1341" s="14" t="s">
        <v>728</v>
      </c>
      <c r="D1341" s="17" t="s">
        <v>951</v>
      </c>
      <c r="E1341" s="18">
        <f>2.552-0.346-0.419-1.7-(0.007)</f>
        <v>7.999999999999996E-2</v>
      </c>
    </row>
    <row r="1342" spans="1:5" ht="17">
      <c r="A1342" s="1" t="s">
        <v>68</v>
      </c>
      <c r="B1342" s="27" t="s">
        <v>35</v>
      </c>
      <c r="C1342" s="14" t="s">
        <v>728</v>
      </c>
      <c r="D1342" s="17" t="s">
        <v>781</v>
      </c>
      <c r="E1342" s="18">
        <f>3.756-0.248-1.27-0.054-0.025-1.188-0.054-0.054</f>
        <v>0.86300000000000021</v>
      </c>
    </row>
    <row r="1343" spans="1:5" ht="17">
      <c r="A1343" s="1" t="s">
        <v>68</v>
      </c>
      <c r="B1343" s="27" t="s">
        <v>35</v>
      </c>
      <c r="C1343" s="14" t="s">
        <v>728</v>
      </c>
      <c r="D1343" s="17" t="s">
        <v>781</v>
      </c>
      <c r="E1343" s="18">
        <f>1.69-0.335-0.2-0.148-0.8</f>
        <v>0.20700000000000007</v>
      </c>
    </row>
    <row r="1344" spans="1:5" ht="17">
      <c r="A1344" s="1" t="s">
        <v>68</v>
      </c>
      <c r="B1344" s="27" t="s">
        <v>35</v>
      </c>
      <c r="C1344" s="14" t="s">
        <v>728</v>
      </c>
      <c r="D1344" s="17" t="s">
        <v>776</v>
      </c>
      <c r="E1344" s="18">
        <f>1.558-0.403-0.056-0.007-0.778</f>
        <v>0.31400000000000006</v>
      </c>
    </row>
    <row r="1345" spans="1:5" ht="17">
      <c r="A1345" s="1" t="s">
        <v>68</v>
      </c>
      <c r="B1345" s="27" t="s">
        <v>35</v>
      </c>
      <c r="C1345" s="14" t="s">
        <v>728</v>
      </c>
      <c r="D1345" s="17" t="s">
        <v>843</v>
      </c>
      <c r="E1345" s="18">
        <f>1.696-0.126-0.128-0.062</f>
        <v>1.3799999999999997</v>
      </c>
    </row>
    <row r="1346" spans="1:5" ht="17">
      <c r="A1346" s="1" t="s">
        <v>68</v>
      </c>
      <c r="B1346" s="27" t="s">
        <v>35</v>
      </c>
      <c r="C1346" s="14" t="s">
        <v>728</v>
      </c>
      <c r="D1346" s="17" t="s">
        <v>769</v>
      </c>
      <c r="E1346" s="18">
        <f>3.26-0.244-0.54</f>
        <v>2.476</v>
      </c>
    </row>
    <row r="1347" spans="1:5" ht="17">
      <c r="A1347" s="1" t="s">
        <v>68</v>
      </c>
      <c r="B1347" s="27" t="s">
        <v>35</v>
      </c>
      <c r="C1347" s="14" t="s">
        <v>728</v>
      </c>
      <c r="D1347" s="17" t="s">
        <v>963</v>
      </c>
      <c r="E1347" s="18">
        <f>0.876-0.548-0.208-0.011-0.096-(0.003)</f>
        <v>9.9999999999999707E-3</v>
      </c>
    </row>
    <row r="1348" spans="1:5" ht="17">
      <c r="A1348" s="1" t="s">
        <v>68</v>
      </c>
      <c r="B1348" s="27" t="s">
        <v>35</v>
      </c>
      <c r="C1348" s="14" t="s">
        <v>709</v>
      </c>
      <c r="D1348" s="17" t="s">
        <v>964</v>
      </c>
      <c r="E1348" s="18">
        <f>4.956-2.1-1.258-0.094-0.346-0.2-0.78</f>
        <v>0.17800000000000038</v>
      </c>
    </row>
    <row r="1349" spans="1:5" ht="17">
      <c r="A1349" s="1" t="s">
        <v>68</v>
      </c>
      <c r="B1349" s="27" t="s">
        <v>70</v>
      </c>
      <c r="C1349" s="14" t="s">
        <v>728</v>
      </c>
      <c r="D1349" s="17" t="s">
        <v>760</v>
      </c>
      <c r="E1349" s="18">
        <f>1.534</f>
        <v>1.534</v>
      </c>
    </row>
    <row r="1350" spans="1:5" ht="17">
      <c r="A1350" s="1" t="s">
        <v>68</v>
      </c>
      <c r="B1350" s="27" t="s">
        <v>35</v>
      </c>
      <c r="C1350" s="14" t="s">
        <v>728</v>
      </c>
      <c r="D1350" s="17" t="s">
        <v>965</v>
      </c>
      <c r="E1350" s="18">
        <f>0.838-0.698</f>
        <v>0.14000000000000001</v>
      </c>
    </row>
    <row r="1351" spans="1:5" ht="17">
      <c r="A1351" s="1" t="s">
        <v>68</v>
      </c>
      <c r="B1351" s="27" t="s">
        <v>35</v>
      </c>
      <c r="C1351" s="14" t="s">
        <v>728</v>
      </c>
      <c r="D1351" s="17" t="s">
        <v>749</v>
      </c>
      <c r="E1351" s="18">
        <f>6.384-2.258-0.334-1.816-0.516-0.576-0.252-0.228-0.08-0.14-0.048-0.021-0.013-(0.057)</f>
        <v>4.5000000000000227E-2</v>
      </c>
    </row>
    <row r="1352" spans="1:5" ht="17">
      <c r="A1352" s="1" t="s">
        <v>68</v>
      </c>
      <c r="B1352" s="27" t="s">
        <v>35</v>
      </c>
      <c r="C1352" s="14" t="s">
        <v>728</v>
      </c>
      <c r="D1352" s="17" t="s">
        <v>966</v>
      </c>
      <c r="E1352" s="18">
        <f>0.013</f>
        <v>1.2999999999999999E-2</v>
      </c>
    </row>
    <row r="1353" spans="1:5" ht="17">
      <c r="A1353" s="1" t="s">
        <v>68</v>
      </c>
      <c r="B1353" s="27" t="s">
        <v>35</v>
      </c>
      <c r="C1353" s="14" t="s">
        <v>728</v>
      </c>
      <c r="D1353" s="17" t="s">
        <v>967</v>
      </c>
      <c r="E1353" s="18">
        <f>0.12</f>
        <v>0.12</v>
      </c>
    </row>
    <row r="1354" spans="1:5" ht="17">
      <c r="A1354" s="1" t="s">
        <v>68</v>
      </c>
      <c r="B1354" s="27" t="s">
        <v>35</v>
      </c>
      <c r="C1354" s="14" t="s">
        <v>728</v>
      </c>
      <c r="D1354" s="17" t="s">
        <v>968</v>
      </c>
      <c r="E1354" s="18">
        <f>0.007</f>
        <v>7.0000000000000001E-3</v>
      </c>
    </row>
    <row r="1355" spans="1:5" ht="17">
      <c r="A1355" s="1" t="s">
        <v>68</v>
      </c>
      <c r="B1355" s="27" t="s">
        <v>35</v>
      </c>
      <c r="C1355" s="14" t="s">
        <v>728</v>
      </c>
      <c r="D1355" s="17" t="s">
        <v>969</v>
      </c>
      <c r="E1355" s="18">
        <f>0.061</f>
        <v>6.0999999999999999E-2</v>
      </c>
    </row>
    <row r="1356" spans="1:5" ht="17">
      <c r="A1356" s="1" t="s">
        <v>68</v>
      </c>
      <c r="B1356" s="27" t="s">
        <v>35</v>
      </c>
      <c r="C1356" s="14" t="s">
        <v>709</v>
      </c>
      <c r="D1356" s="17" t="s">
        <v>749</v>
      </c>
      <c r="E1356" s="18">
        <f>5.651-1.39-0.814-0.264-0.034-0.966-0.124-0.25-0.02-0.24-0.056-0.148-0.27</f>
        <v>1.0749999999999997</v>
      </c>
    </row>
    <row r="1357" spans="1:5" ht="17">
      <c r="A1357" s="1" t="s">
        <v>68</v>
      </c>
      <c r="B1357" s="27" t="s">
        <v>35</v>
      </c>
      <c r="C1357" s="14" t="s">
        <v>729</v>
      </c>
      <c r="D1357" s="17" t="s">
        <v>749</v>
      </c>
      <c r="E1357" s="18">
        <f>2.237-0.546-0.352</f>
        <v>1.339</v>
      </c>
    </row>
    <row r="1358" spans="1:5" ht="17">
      <c r="A1358" s="1" t="s">
        <v>68</v>
      </c>
      <c r="B1358" s="27" t="s">
        <v>35</v>
      </c>
      <c r="C1358" s="14" t="s">
        <v>729</v>
      </c>
      <c r="D1358" s="17" t="s">
        <v>749</v>
      </c>
      <c r="E1358" s="18">
        <f>1.43</f>
        <v>1.43</v>
      </c>
    </row>
    <row r="1359" spans="1:5" ht="17">
      <c r="A1359" s="1" t="s">
        <v>68</v>
      </c>
      <c r="B1359" s="27" t="s">
        <v>35</v>
      </c>
      <c r="C1359" s="14" t="s">
        <v>709</v>
      </c>
      <c r="D1359" s="17" t="s">
        <v>970</v>
      </c>
      <c r="E1359" s="18">
        <f>1.886-0.644-0.59-0.088-0.28</f>
        <v>0.28400000000000003</v>
      </c>
    </row>
    <row r="1360" spans="1:5" ht="17">
      <c r="A1360" s="1" t="s">
        <v>68</v>
      </c>
      <c r="B1360" s="27" t="s">
        <v>35</v>
      </c>
      <c r="C1360" s="14" t="s">
        <v>729</v>
      </c>
      <c r="D1360" s="17" t="s">
        <v>834</v>
      </c>
      <c r="E1360" s="18">
        <f>7.456-0.36-5</f>
        <v>2.0960000000000001</v>
      </c>
    </row>
    <row r="1361" spans="1:5" ht="17">
      <c r="A1361" s="1" t="s">
        <v>68</v>
      </c>
      <c r="B1361" s="27" t="s">
        <v>35</v>
      </c>
      <c r="C1361" s="14" t="s">
        <v>729</v>
      </c>
      <c r="D1361" s="17" t="s">
        <v>834</v>
      </c>
      <c r="E1361" s="18">
        <f>1.378</f>
        <v>1.3779999999999999</v>
      </c>
    </row>
    <row r="1362" spans="1:5" ht="17">
      <c r="A1362" s="1" t="s">
        <v>68</v>
      </c>
      <c r="B1362" s="27" t="s">
        <v>35</v>
      </c>
      <c r="C1362" s="14" t="s">
        <v>729</v>
      </c>
      <c r="D1362" s="17" t="s">
        <v>834</v>
      </c>
      <c r="E1362" s="18">
        <f>1.153</f>
        <v>1.153</v>
      </c>
    </row>
    <row r="1363" spans="1:5" ht="17">
      <c r="A1363" s="1" t="s">
        <v>68</v>
      </c>
      <c r="B1363" s="27" t="s">
        <v>35</v>
      </c>
      <c r="C1363" s="14" t="s">
        <v>728</v>
      </c>
      <c r="D1363" s="17" t="s">
        <v>971</v>
      </c>
      <c r="E1363" s="18">
        <f>0.184</f>
        <v>0.184</v>
      </c>
    </row>
    <row r="1364" spans="1:5" ht="17">
      <c r="A1364" s="1" t="s">
        <v>68</v>
      </c>
      <c r="B1364" s="27" t="s">
        <v>35</v>
      </c>
      <c r="C1364" s="14" t="s">
        <v>729</v>
      </c>
      <c r="D1364" s="17" t="s">
        <v>972</v>
      </c>
      <c r="E1364" s="18">
        <f>2.712</f>
        <v>2.7120000000000002</v>
      </c>
    </row>
    <row r="1365" spans="1:5" ht="17">
      <c r="A1365" s="1" t="s">
        <v>68</v>
      </c>
      <c r="B1365" s="27" t="s">
        <v>35</v>
      </c>
      <c r="C1365" s="14" t="s">
        <v>709</v>
      </c>
      <c r="D1365" s="17" t="s">
        <v>740</v>
      </c>
      <c r="E1365" s="18">
        <f>5.884-2.924-1.112-0.362-0.624-0.078-0.2-0.044-0.11-0.09</f>
        <v>0.3400000000000003</v>
      </c>
    </row>
    <row r="1366" spans="1:5" ht="17">
      <c r="A1366" s="1" t="s">
        <v>68</v>
      </c>
      <c r="B1366" s="27" t="s">
        <v>35</v>
      </c>
      <c r="C1366" s="14" t="s">
        <v>709</v>
      </c>
      <c r="D1366" s="17" t="s">
        <v>973</v>
      </c>
      <c r="E1366" s="18">
        <f>0.362</f>
        <v>0.36199999999999999</v>
      </c>
    </row>
    <row r="1367" spans="1:5" ht="17">
      <c r="A1367" s="1" t="s">
        <v>68</v>
      </c>
      <c r="B1367" s="27" t="s">
        <v>35</v>
      </c>
      <c r="C1367" s="14" t="s">
        <v>729</v>
      </c>
      <c r="D1367" s="17" t="s">
        <v>740</v>
      </c>
      <c r="E1367" s="18">
        <f>2.187-0.532-0.604-0.606</f>
        <v>0.44499999999999973</v>
      </c>
    </row>
    <row r="1368" spans="1:5" ht="17">
      <c r="A1368" s="1" t="s">
        <v>68</v>
      </c>
      <c r="B1368" s="27" t="s">
        <v>35</v>
      </c>
      <c r="C1368" s="14" t="s">
        <v>729</v>
      </c>
      <c r="D1368" s="17" t="s">
        <v>740</v>
      </c>
      <c r="E1368" s="18">
        <f>2.89</f>
        <v>2.89</v>
      </c>
    </row>
    <row r="1369" spans="1:5" ht="17">
      <c r="A1369" s="1" t="s">
        <v>68</v>
      </c>
      <c r="B1369" s="27" t="s">
        <v>35</v>
      </c>
      <c r="C1369" s="14" t="s">
        <v>709</v>
      </c>
      <c r="D1369" s="17" t="s">
        <v>974</v>
      </c>
      <c r="E1369" s="18">
        <f>3.33-1.116-0.212-0.014</f>
        <v>1.9879999999999998</v>
      </c>
    </row>
    <row r="1370" spans="1:5" ht="17">
      <c r="A1370" s="1" t="s">
        <v>68</v>
      </c>
      <c r="B1370" s="27" t="s">
        <v>35</v>
      </c>
      <c r="C1370" s="14" t="s">
        <v>729</v>
      </c>
      <c r="D1370" s="17" t="s">
        <v>974</v>
      </c>
      <c r="E1370" s="18">
        <f>3.046-2.274</f>
        <v>0.7719999999999998</v>
      </c>
    </row>
    <row r="1371" spans="1:5" ht="17">
      <c r="A1371" s="1" t="s">
        <v>68</v>
      </c>
      <c r="B1371" s="26" t="s">
        <v>35</v>
      </c>
      <c r="C1371" s="14" t="s">
        <v>975</v>
      </c>
      <c r="D1371" s="20" t="s">
        <v>976</v>
      </c>
      <c r="E1371" s="19">
        <f>1.746-0.928-0.718</f>
        <v>9.9999999999999978E-2</v>
      </c>
    </row>
    <row r="1372" spans="1:5" ht="17">
      <c r="A1372" s="1" t="s">
        <v>68</v>
      </c>
      <c r="B1372" s="27" t="s">
        <v>17</v>
      </c>
      <c r="C1372" s="14" t="s">
        <v>977</v>
      </c>
      <c r="D1372" s="17" t="s">
        <v>978</v>
      </c>
      <c r="E1372" s="18">
        <f>0.38-0.1-0.015</f>
        <v>0.26500000000000001</v>
      </c>
    </row>
    <row r="1373" spans="1:5" ht="17">
      <c r="A1373" s="1" t="s">
        <v>68</v>
      </c>
      <c r="B1373" s="27" t="s">
        <v>17</v>
      </c>
      <c r="C1373" s="14" t="s">
        <v>979</v>
      </c>
      <c r="D1373" s="17">
        <v>10</v>
      </c>
      <c r="E1373" s="18">
        <f>1.374-0.017-0.049-0.049-0.025-0.16-0.015-0.18</f>
        <v>0.87900000000000067</v>
      </c>
    </row>
    <row r="1374" spans="1:5" ht="17">
      <c r="A1374" s="1" t="s">
        <v>68</v>
      </c>
      <c r="B1374" s="27" t="s">
        <v>17</v>
      </c>
      <c r="C1374" s="14" t="s">
        <v>979</v>
      </c>
      <c r="D1374" s="17">
        <v>12</v>
      </c>
      <c r="E1374" s="18">
        <f>1.52-0.05-0.05-0.05-0.014-0.216</f>
        <v>1.1399999999999999</v>
      </c>
    </row>
    <row r="1375" spans="1:5" ht="17">
      <c r="A1375" s="1" t="s">
        <v>68</v>
      </c>
      <c r="B1375" s="27" t="s">
        <v>17</v>
      </c>
      <c r="C1375" s="14" t="s">
        <v>979</v>
      </c>
      <c r="D1375" s="17">
        <v>14</v>
      </c>
      <c r="E1375" s="18">
        <f>0.71-0.04-0.036-0.288-0.075</f>
        <v>0.27099999999999991</v>
      </c>
    </row>
    <row r="1376" spans="1:5" ht="17">
      <c r="A1376" s="1" t="s">
        <v>68</v>
      </c>
      <c r="B1376" s="27" t="s">
        <v>17</v>
      </c>
      <c r="C1376" s="14" t="s">
        <v>979</v>
      </c>
      <c r="D1376" s="17">
        <v>16</v>
      </c>
      <c r="E1376" s="18">
        <f>1.168-0.016-0.06-0.018-0.014-0.036-0.2-0.187-0.042-0.104-0.016-0.238-0.095-0.026-0.02-0.044-0.034</f>
        <v>1.7999999999999766E-2</v>
      </c>
    </row>
    <row r="1377" spans="1:5" ht="17">
      <c r="A1377" s="1" t="s">
        <v>68</v>
      </c>
      <c r="B1377" s="27" t="s">
        <v>17</v>
      </c>
      <c r="C1377" s="14" t="s">
        <v>979</v>
      </c>
      <c r="D1377" s="17">
        <v>16</v>
      </c>
      <c r="E1377" s="18">
        <f>2.288-0.404-0.148-0.052-0.203-0.035-0.035-0.382-0.026-0.2</f>
        <v>0.80299999999999994</v>
      </c>
    </row>
    <row r="1378" spans="1:5" ht="17">
      <c r="A1378" s="1" t="s">
        <v>68</v>
      </c>
      <c r="B1378" s="27" t="s">
        <v>17</v>
      </c>
      <c r="C1378" s="14" t="s">
        <v>979</v>
      </c>
      <c r="D1378" s="17">
        <v>16</v>
      </c>
      <c r="E1378" s="18">
        <f>1.539</f>
        <v>1.5389999999999999</v>
      </c>
    </row>
    <row r="1379" spans="1:5" ht="17">
      <c r="A1379" s="1" t="s">
        <v>68</v>
      </c>
      <c r="B1379" s="27" t="s">
        <v>17</v>
      </c>
      <c r="C1379" s="14" t="s">
        <v>979</v>
      </c>
      <c r="D1379" s="17">
        <v>18</v>
      </c>
      <c r="E1379" s="18">
        <f>1.589-0.023-0.012-0.035-0.448</f>
        <v>1.0710000000000002</v>
      </c>
    </row>
    <row r="1380" spans="1:5" ht="17">
      <c r="A1380" s="1" t="s">
        <v>68</v>
      </c>
      <c r="B1380" s="27" t="s">
        <v>17</v>
      </c>
      <c r="C1380" s="14" t="s">
        <v>979</v>
      </c>
      <c r="D1380" s="17">
        <v>20</v>
      </c>
      <c r="E1380" s="18">
        <f>1.453-0.306-0.013-0.057-0.087-0.6</f>
        <v>0.39000000000000024</v>
      </c>
    </row>
    <row r="1381" spans="1:5" ht="17">
      <c r="A1381" s="1" t="s">
        <v>68</v>
      </c>
      <c r="B1381" s="27" t="s">
        <v>17</v>
      </c>
      <c r="C1381" s="14" t="s">
        <v>979</v>
      </c>
      <c r="D1381" s="17">
        <v>20</v>
      </c>
      <c r="E1381" s="18">
        <f>1.094-0.052-0.199-0.06</f>
        <v>0.78299999999999992</v>
      </c>
    </row>
    <row r="1382" spans="1:5" ht="17">
      <c r="A1382" s="1" t="s">
        <v>68</v>
      </c>
      <c r="B1382" s="27" t="s">
        <v>17</v>
      </c>
      <c r="C1382" s="14" t="s">
        <v>979</v>
      </c>
      <c r="D1382" s="17">
        <v>22</v>
      </c>
      <c r="E1382" s="18">
        <f>1.036-0.035</f>
        <v>1.0010000000000001</v>
      </c>
    </row>
    <row r="1383" spans="1:5" ht="17">
      <c r="A1383" s="1" t="s">
        <v>68</v>
      </c>
      <c r="B1383" s="27" t="s">
        <v>17</v>
      </c>
      <c r="C1383" s="14" t="s">
        <v>979</v>
      </c>
      <c r="D1383" s="17">
        <v>25</v>
      </c>
      <c r="E1383" s="18">
        <f>2.464-0.242-0.35-0.196-0.344-0.045-0.125-0.704-0.3</f>
        <v>0.15799999999999997</v>
      </c>
    </row>
    <row r="1384" spans="1:5" ht="17">
      <c r="A1384" s="1" t="s">
        <v>68</v>
      </c>
      <c r="B1384" s="27" t="s">
        <v>17</v>
      </c>
      <c r="C1384" s="14" t="s">
        <v>979</v>
      </c>
      <c r="D1384" s="17">
        <v>25</v>
      </c>
      <c r="E1384" s="18">
        <f>1.584-0.221-0.012-0.926-0.022</f>
        <v>0.40299999999999991</v>
      </c>
    </row>
    <row r="1385" spans="1:5" ht="17">
      <c r="A1385" s="1" t="s">
        <v>68</v>
      </c>
      <c r="B1385" s="27" t="s">
        <v>17</v>
      </c>
      <c r="C1385" s="14" t="s">
        <v>979</v>
      </c>
      <c r="D1385" s="17">
        <v>25</v>
      </c>
      <c r="E1385" s="18">
        <f>0.964-0.045-0.117</f>
        <v>0.80199999999999994</v>
      </c>
    </row>
    <row r="1386" spans="1:5" ht="17">
      <c r="A1386" s="1" t="s">
        <v>68</v>
      </c>
      <c r="B1386" s="27" t="s">
        <v>17</v>
      </c>
      <c r="C1386" s="14" t="s">
        <v>979</v>
      </c>
      <c r="D1386" s="17">
        <v>30</v>
      </c>
      <c r="E1386" s="18">
        <f>2.498-0.021-0.043-0.017-0.031-0.043-0.116-0.145-0.3</f>
        <v>1.7819999999999998</v>
      </c>
    </row>
    <row r="1387" spans="1:5" ht="17">
      <c r="A1387" s="1" t="s">
        <v>68</v>
      </c>
      <c r="B1387" s="27" t="s">
        <v>17</v>
      </c>
      <c r="C1387" s="14" t="s">
        <v>979</v>
      </c>
      <c r="D1387" s="17">
        <v>40</v>
      </c>
      <c r="E1387" s="18">
        <f>3.17-0.242-0.28-0.392-0.168-0.015-0.17-0.113-0.097-0.3</f>
        <v>1.3929999999999996</v>
      </c>
    </row>
    <row r="1388" spans="1:5" ht="17">
      <c r="A1388" s="1" t="s">
        <v>68</v>
      </c>
      <c r="B1388" s="27" t="s">
        <v>17</v>
      </c>
      <c r="C1388" s="14" t="s">
        <v>979</v>
      </c>
      <c r="D1388" s="17">
        <v>40</v>
      </c>
      <c r="E1388" s="18">
        <f>1.542-0.05-0.302-0.015</f>
        <v>1.175</v>
      </c>
    </row>
    <row r="1389" spans="1:5" ht="17">
      <c r="A1389" s="1" t="s">
        <v>68</v>
      </c>
      <c r="B1389" s="27" t="s">
        <v>17</v>
      </c>
      <c r="C1389" s="14" t="s">
        <v>979</v>
      </c>
      <c r="D1389" s="17">
        <v>45</v>
      </c>
      <c r="E1389" s="18">
        <f>1.642-0.038-0.392-0.072-0.025-0.072-0.072-0.3</f>
        <v>0.67099999999999982</v>
      </c>
    </row>
    <row r="1390" spans="1:5" ht="17">
      <c r="A1390" s="1" t="s">
        <v>68</v>
      </c>
      <c r="B1390" s="27" t="s">
        <v>17</v>
      </c>
      <c r="C1390" s="14" t="s">
        <v>979</v>
      </c>
      <c r="D1390" s="17">
        <v>45</v>
      </c>
      <c r="E1390" s="18">
        <f>0.516</f>
        <v>0.51600000000000001</v>
      </c>
    </row>
    <row r="1391" spans="1:5" ht="17">
      <c r="A1391" s="1" t="s">
        <v>68</v>
      </c>
      <c r="B1391" s="27" t="s">
        <v>17</v>
      </c>
      <c r="C1391" s="14" t="s">
        <v>979</v>
      </c>
      <c r="D1391" s="17">
        <v>50</v>
      </c>
      <c r="E1391" s="18">
        <f>3.588-0.046-0.533-0.088-0.087-0.786-0.134-0.168-0.18-0.176-0.174-0.261-0.086-0.088</f>
        <v>0.78100000000000047</v>
      </c>
    </row>
    <row r="1392" spans="1:5" ht="17">
      <c r="A1392" s="1" t="s">
        <v>68</v>
      </c>
      <c r="B1392" s="27" t="s">
        <v>17</v>
      </c>
      <c r="C1392" s="14" t="s">
        <v>979</v>
      </c>
      <c r="D1392" s="17">
        <v>50</v>
      </c>
      <c r="E1392" s="18">
        <f>1.374-0.423-0.04-0.221</f>
        <v>0.69000000000000006</v>
      </c>
    </row>
    <row r="1393" spans="1:5" ht="17">
      <c r="A1393" s="1" t="s">
        <v>68</v>
      </c>
      <c r="B1393" s="27" t="s">
        <v>17</v>
      </c>
      <c r="C1393" s="14" t="s">
        <v>979</v>
      </c>
      <c r="D1393" s="17">
        <v>50</v>
      </c>
      <c r="E1393" s="18">
        <f>1.556-0.35-0.088</f>
        <v>1.1179999999999999</v>
      </c>
    </row>
    <row r="1394" spans="1:5" ht="17">
      <c r="A1394" s="1" t="s">
        <v>68</v>
      </c>
      <c r="B1394" s="27" t="s">
        <v>17</v>
      </c>
      <c r="C1394" s="14" t="s">
        <v>979</v>
      </c>
      <c r="D1394" s="17">
        <v>50</v>
      </c>
      <c r="E1394" s="18">
        <f>1.275</f>
        <v>1.2749999999999999</v>
      </c>
    </row>
    <row r="1395" spans="1:5" ht="17">
      <c r="A1395" s="1" t="s">
        <v>68</v>
      </c>
      <c r="B1395" s="27" t="s">
        <v>17</v>
      </c>
      <c r="C1395" s="14" t="s">
        <v>979</v>
      </c>
      <c r="D1395" s="17">
        <v>50</v>
      </c>
      <c r="E1395" s="18">
        <f>1.484</f>
        <v>1.484</v>
      </c>
    </row>
    <row r="1396" spans="1:5" ht="17">
      <c r="A1396" s="1" t="s">
        <v>68</v>
      </c>
      <c r="B1396" s="27" t="s">
        <v>17</v>
      </c>
      <c r="C1396" s="14" t="s">
        <v>979</v>
      </c>
      <c r="D1396" s="17">
        <v>55</v>
      </c>
      <c r="E1396" s="18">
        <f>1.65-0.058-1.03-0.232-0.081-0.019-0.163</f>
        <v>6.6999999999999837E-2</v>
      </c>
    </row>
    <row r="1397" spans="1:5" ht="17">
      <c r="A1397" s="1" t="s">
        <v>68</v>
      </c>
      <c r="B1397" s="27" t="s">
        <v>17</v>
      </c>
      <c r="C1397" s="14" t="s">
        <v>979</v>
      </c>
      <c r="D1397" s="17">
        <v>55</v>
      </c>
      <c r="E1397" s="18">
        <f>0.97-0.092</f>
        <v>0.878</v>
      </c>
    </row>
    <row r="1398" spans="1:5" ht="17">
      <c r="A1398" s="1" t="s">
        <v>68</v>
      </c>
      <c r="B1398" s="27" t="s">
        <v>17</v>
      </c>
      <c r="C1398" s="14" t="s">
        <v>979</v>
      </c>
      <c r="D1398" s="17">
        <v>55</v>
      </c>
      <c r="E1398" s="18">
        <f>3.052-0.211</f>
        <v>2.8410000000000002</v>
      </c>
    </row>
    <row r="1399" spans="1:5" ht="17">
      <c r="A1399" s="1" t="s">
        <v>68</v>
      </c>
      <c r="B1399" s="27" t="s">
        <v>17</v>
      </c>
      <c r="C1399" s="14" t="s">
        <v>979</v>
      </c>
      <c r="D1399" s="17">
        <v>60</v>
      </c>
      <c r="E1399" s="18">
        <f>1.25-0.039-0.18</f>
        <v>1.0310000000000001</v>
      </c>
    </row>
    <row r="1400" spans="1:5" ht="17">
      <c r="A1400" s="1" t="s">
        <v>68</v>
      </c>
      <c r="B1400" s="27" t="s">
        <v>17</v>
      </c>
      <c r="C1400" s="14" t="s">
        <v>979</v>
      </c>
      <c r="D1400" s="17">
        <v>60</v>
      </c>
      <c r="E1400" s="18">
        <f>2.96-0.251-0.5</f>
        <v>2.2090000000000001</v>
      </c>
    </row>
    <row r="1401" spans="1:5" ht="17">
      <c r="A1401" s="1" t="s">
        <v>68</v>
      </c>
      <c r="B1401" s="27" t="s">
        <v>17</v>
      </c>
      <c r="C1401" s="14" t="s">
        <v>979</v>
      </c>
      <c r="D1401" s="17">
        <v>65</v>
      </c>
      <c r="E1401" s="18">
        <f>2.514-0.08-0.138</f>
        <v>2.2959999999999998</v>
      </c>
    </row>
    <row r="1402" spans="1:5" ht="17">
      <c r="A1402" s="1" t="s">
        <v>68</v>
      </c>
      <c r="B1402" s="27" t="s">
        <v>17</v>
      </c>
      <c r="C1402" s="14" t="s">
        <v>979</v>
      </c>
      <c r="D1402" s="14">
        <v>70</v>
      </c>
      <c r="E1402" s="16">
        <f>3.04-0.312-0.288-0.338-0.663-0.134-0.158-0.153-0.162-0.5</f>
        <v>0.33200000000000018</v>
      </c>
    </row>
    <row r="1403" spans="1:5" ht="17">
      <c r="A1403" s="1" t="s">
        <v>68</v>
      </c>
      <c r="B1403" s="27" t="s">
        <v>17</v>
      </c>
      <c r="C1403" s="14" t="s">
        <v>709</v>
      </c>
      <c r="D1403" s="14">
        <v>70</v>
      </c>
      <c r="E1403" s="16">
        <f>1.31-0.6</f>
        <v>0.71000000000000008</v>
      </c>
    </row>
    <row r="1404" spans="1:5" ht="17">
      <c r="A1404" s="1" t="s">
        <v>68</v>
      </c>
      <c r="B1404" s="27" t="s">
        <v>17</v>
      </c>
      <c r="C1404" s="14" t="s">
        <v>979</v>
      </c>
      <c r="D1404" s="14">
        <v>75</v>
      </c>
      <c r="E1404" s="16">
        <f>0.248</f>
        <v>0.248</v>
      </c>
    </row>
    <row r="1405" spans="1:5" ht="17">
      <c r="A1405" s="1" t="s">
        <v>68</v>
      </c>
      <c r="B1405" s="27" t="s">
        <v>17</v>
      </c>
      <c r="C1405" s="14" t="s">
        <v>709</v>
      </c>
      <c r="D1405" s="14">
        <v>75</v>
      </c>
      <c r="E1405" s="16">
        <f>0.712</f>
        <v>0.71199999999999997</v>
      </c>
    </row>
    <row r="1406" spans="1:5" ht="17">
      <c r="A1406" s="1" t="s">
        <v>68</v>
      </c>
      <c r="B1406" s="27" t="s">
        <v>17</v>
      </c>
      <c r="C1406" s="14" t="s">
        <v>709</v>
      </c>
      <c r="D1406" s="14">
        <v>80</v>
      </c>
      <c r="E1406" s="16">
        <f>1.432-0.904-0.185</f>
        <v>0.34299999999999992</v>
      </c>
    </row>
    <row r="1407" spans="1:5" ht="17">
      <c r="A1407" s="1" t="s">
        <v>68</v>
      </c>
      <c r="B1407" s="27" t="s">
        <v>17</v>
      </c>
      <c r="C1407" s="14" t="s">
        <v>979</v>
      </c>
      <c r="D1407" s="14">
        <v>80</v>
      </c>
      <c r="E1407" s="16">
        <f>5.043-0.432-0.862-0.194-0.3</f>
        <v>3.2549999999999999</v>
      </c>
    </row>
    <row r="1408" spans="1:5" ht="17">
      <c r="A1408" s="1" t="s">
        <v>68</v>
      </c>
      <c r="B1408" s="27" t="s">
        <v>17</v>
      </c>
      <c r="C1408" s="14" t="s">
        <v>709</v>
      </c>
      <c r="D1408" s="14">
        <v>80</v>
      </c>
      <c r="E1408" s="16">
        <f>1.204</f>
        <v>1.204</v>
      </c>
    </row>
    <row r="1409" spans="1:5" ht="17">
      <c r="A1409" s="1" t="s">
        <v>68</v>
      </c>
      <c r="B1409" s="27" t="s">
        <v>17</v>
      </c>
      <c r="C1409" s="14" t="s">
        <v>709</v>
      </c>
      <c r="D1409" s="14">
        <v>85</v>
      </c>
      <c r="E1409" s="16">
        <f>1.25-0.146</f>
        <v>1.1040000000000001</v>
      </c>
    </row>
    <row r="1410" spans="1:5" ht="17">
      <c r="A1410" s="1" t="s">
        <v>68</v>
      </c>
      <c r="B1410" s="27" t="s">
        <v>17</v>
      </c>
      <c r="C1410" s="14" t="s">
        <v>979</v>
      </c>
      <c r="D1410" s="14">
        <v>90</v>
      </c>
      <c r="E1410" s="16">
        <f>3.39-0.098-0.41-0.78-0.05-1.004-0.148-0.7</f>
        <v>0.20000000000000051</v>
      </c>
    </row>
    <row r="1411" spans="1:5" ht="17">
      <c r="A1411" s="1" t="s">
        <v>68</v>
      </c>
      <c r="B1411" s="27" t="s">
        <v>17</v>
      </c>
      <c r="C1411" s="14" t="s">
        <v>709</v>
      </c>
      <c r="D1411" s="17">
        <v>100</v>
      </c>
      <c r="E1411" s="18">
        <f>3.452-0.82-0.134-1.6-0.192-0.261-0.104-0.194</f>
        <v>0.14700000000000019</v>
      </c>
    </row>
    <row r="1412" spans="1:5" ht="17">
      <c r="A1412" s="1" t="s">
        <v>68</v>
      </c>
      <c r="B1412" s="27" t="s">
        <v>17</v>
      </c>
      <c r="C1412" s="14" t="s">
        <v>979</v>
      </c>
      <c r="D1412" s="17">
        <v>100</v>
      </c>
      <c r="E1412" s="18">
        <f>3.33-0.346-1.332-0.344-0.122</f>
        <v>1.1859999999999999</v>
      </c>
    </row>
    <row r="1413" spans="1:5" ht="17">
      <c r="A1413" s="1" t="s">
        <v>68</v>
      </c>
      <c r="B1413" s="27" t="s">
        <v>17</v>
      </c>
      <c r="C1413" s="14" t="s">
        <v>979</v>
      </c>
      <c r="D1413" s="17">
        <v>100</v>
      </c>
      <c r="E1413" s="18">
        <f>3.995</f>
        <v>3.9950000000000001</v>
      </c>
    </row>
    <row r="1414" spans="1:5" ht="17">
      <c r="A1414" s="1" t="s">
        <v>68</v>
      </c>
      <c r="B1414" s="27" t="s">
        <v>17</v>
      </c>
      <c r="C1414" s="14" t="s">
        <v>979</v>
      </c>
      <c r="D1414" s="17">
        <v>120</v>
      </c>
      <c r="E1414" s="18">
        <f>3.365-1.434-0.25-0.296-0.029-0.959</f>
        <v>0.39700000000000035</v>
      </c>
    </row>
    <row r="1415" spans="1:5" ht="17">
      <c r="A1415" s="1" t="s">
        <v>68</v>
      </c>
      <c r="B1415" s="27" t="s">
        <v>17</v>
      </c>
      <c r="C1415" s="14" t="s">
        <v>979</v>
      </c>
      <c r="D1415" s="17">
        <v>120</v>
      </c>
      <c r="E1415" s="18">
        <f>4.09</f>
        <v>4.09</v>
      </c>
    </row>
    <row r="1416" spans="1:5" ht="17">
      <c r="A1416" s="1" t="s">
        <v>68</v>
      </c>
      <c r="B1416" s="27" t="s">
        <v>17</v>
      </c>
      <c r="C1416" s="14" t="s">
        <v>709</v>
      </c>
      <c r="D1416" s="17">
        <v>130</v>
      </c>
      <c r="E1416" s="18">
        <f>1.098-0.546</f>
        <v>0.55200000000000005</v>
      </c>
    </row>
    <row r="1417" spans="1:5" ht="17">
      <c r="A1417" s="1" t="s">
        <v>68</v>
      </c>
      <c r="B1417" s="27" t="s">
        <v>17</v>
      </c>
      <c r="C1417" s="14" t="s">
        <v>709</v>
      </c>
      <c r="D1417" s="17">
        <v>130</v>
      </c>
      <c r="E1417" s="18">
        <f>1.123-0.3</f>
        <v>0.82299999999999995</v>
      </c>
    </row>
    <row r="1418" spans="1:5" ht="17">
      <c r="A1418" s="1" t="s">
        <v>68</v>
      </c>
      <c r="B1418" s="27" t="s">
        <v>17</v>
      </c>
      <c r="C1418" s="14" t="s">
        <v>709</v>
      </c>
      <c r="D1418" s="14">
        <v>150</v>
      </c>
      <c r="E1418" s="16">
        <f>0.856-0.42-0.144-0.1</f>
        <v>0.19200000000000003</v>
      </c>
    </row>
    <row r="1419" spans="1:5" ht="17">
      <c r="A1419" s="1" t="s">
        <v>68</v>
      </c>
      <c r="B1419" s="27" t="s">
        <v>17</v>
      </c>
      <c r="C1419" s="14" t="s">
        <v>979</v>
      </c>
      <c r="D1419" s="14">
        <v>150</v>
      </c>
      <c r="E1419" s="16">
        <f>5.355-0.442-0.036-0.6</f>
        <v>4.277000000000001</v>
      </c>
    </row>
    <row r="1420" spans="1:5" ht="17">
      <c r="A1420" s="1" t="s">
        <v>68</v>
      </c>
      <c r="B1420" s="27" t="s">
        <v>17</v>
      </c>
      <c r="C1420" s="14" t="s">
        <v>709</v>
      </c>
      <c r="D1420" s="17">
        <v>160</v>
      </c>
      <c r="E1420" s="18">
        <f>1.728-0.506-0.166</f>
        <v>1.056</v>
      </c>
    </row>
    <row r="1421" spans="1:5" ht="17">
      <c r="A1421" s="1" t="s">
        <v>68</v>
      </c>
      <c r="B1421" s="27" t="s">
        <v>17</v>
      </c>
      <c r="C1421" s="14" t="s">
        <v>709</v>
      </c>
      <c r="D1421" s="17">
        <v>160</v>
      </c>
      <c r="E1421" s="18">
        <f>1.736</f>
        <v>1.736</v>
      </c>
    </row>
    <row r="1422" spans="1:5" ht="17">
      <c r="A1422" s="1" t="s">
        <v>68</v>
      </c>
      <c r="B1422" s="27" t="s">
        <v>17</v>
      </c>
      <c r="C1422" s="14" t="s">
        <v>709</v>
      </c>
      <c r="D1422" s="17">
        <v>160</v>
      </c>
      <c r="E1422" s="18">
        <f>2.766-2.186</f>
        <v>0.58000000000000007</v>
      </c>
    </row>
    <row r="1423" spans="1:5" ht="17">
      <c r="A1423" s="1" t="s">
        <v>68</v>
      </c>
      <c r="B1423" s="27" t="s">
        <v>17</v>
      </c>
      <c r="C1423" s="14" t="s">
        <v>709</v>
      </c>
      <c r="D1423" s="17">
        <v>160</v>
      </c>
      <c r="E1423" s="18">
        <f>0.835</f>
        <v>0.83499999999999996</v>
      </c>
    </row>
    <row r="1424" spans="1:5" ht="17">
      <c r="A1424" s="1" t="s">
        <v>68</v>
      </c>
      <c r="B1424" s="27" t="s">
        <v>17</v>
      </c>
      <c r="C1424" s="14" t="s">
        <v>709</v>
      </c>
      <c r="D1424" s="14">
        <v>170</v>
      </c>
      <c r="E1424" s="16">
        <f>1.372-0.372-0.067</f>
        <v>0.93300000000000005</v>
      </c>
    </row>
    <row r="1425" spans="1:5" ht="17">
      <c r="A1425" s="1" t="s">
        <v>68</v>
      </c>
      <c r="B1425" s="27" t="s">
        <v>17</v>
      </c>
      <c r="C1425" s="14" t="s">
        <v>709</v>
      </c>
      <c r="D1425" s="14">
        <v>170</v>
      </c>
      <c r="E1425" s="16">
        <f>1.718</f>
        <v>1.718</v>
      </c>
    </row>
    <row r="1426" spans="1:5" ht="17">
      <c r="A1426" s="1" t="s">
        <v>68</v>
      </c>
      <c r="B1426" s="27" t="s">
        <v>17</v>
      </c>
      <c r="C1426" s="14" t="s">
        <v>709</v>
      </c>
      <c r="D1426" s="14">
        <v>170</v>
      </c>
      <c r="E1426" s="16">
        <f>0.542</f>
        <v>0.54200000000000004</v>
      </c>
    </row>
    <row r="1427" spans="1:5" ht="17">
      <c r="A1427" s="1" t="s">
        <v>68</v>
      </c>
      <c r="B1427" s="27" t="s">
        <v>17</v>
      </c>
      <c r="C1427" s="14" t="s">
        <v>709</v>
      </c>
      <c r="D1427" s="14">
        <v>170</v>
      </c>
      <c r="E1427" s="16">
        <f>0.544</f>
        <v>0.54400000000000004</v>
      </c>
    </row>
    <row r="1428" spans="1:5" ht="17">
      <c r="A1428" s="1" t="s">
        <v>68</v>
      </c>
      <c r="B1428" s="27" t="s">
        <v>17</v>
      </c>
      <c r="C1428" s="14" t="s">
        <v>709</v>
      </c>
      <c r="D1428" s="17">
        <v>180</v>
      </c>
      <c r="E1428" s="18">
        <f>3.27-0.204-0.066</f>
        <v>3</v>
      </c>
    </row>
    <row r="1429" spans="1:5" ht="17">
      <c r="A1429" s="1" t="s">
        <v>68</v>
      </c>
      <c r="B1429" s="27" t="s">
        <v>17</v>
      </c>
      <c r="C1429" s="14" t="s">
        <v>709</v>
      </c>
      <c r="D1429" s="14">
        <v>200</v>
      </c>
      <c r="E1429" s="15">
        <f>2.864-0.508-0.227-0.064-1.5</f>
        <v>0.56499999999999995</v>
      </c>
    </row>
    <row r="1430" spans="1:5" ht="17">
      <c r="A1430" s="1" t="s">
        <v>68</v>
      </c>
      <c r="B1430" s="27" t="s">
        <v>17</v>
      </c>
      <c r="C1430" s="14" t="s">
        <v>709</v>
      </c>
      <c r="D1430" s="14">
        <v>200</v>
      </c>
      <c r="E1430" s="15">
        <f>6.93-2.958</f>
        <v>3.9719999999999995</v>
      </c>
    </row>
    <row r="1431" spans="1:5" ht="17">
      <c r="A1431" s="1" t="s">
        <v>68</v>
      </c>
      <c r="B1431" s="27" t="s">
        <v>17</v>
      </c>
      <c r="C1431" s="14" t="s">
        <v>709</v>
      </c>
      <c r="D1431" s="14">
        <v>210</v>
      </c>
      <c r="E1431" s="15">
        <v>2.3679999999999999</v>
      </c>
    </row>
    <row r="1432" spans="1:5" ht="17">
      <c r="A1432" s="1" t="s">
        <v>68</v>
      </c>
      <c r="B1432" s="27" t="s">
        <v>17</v>
      </c>
      <c r="C1432" s="14" t="s">
        <v>709</v>
      </c>
      <c r="D1432" s="14">
        <v>220</v>
      </c>
      <c r="E1432" s="15">
        <v>2.8559999999999999</v>
      </c>
    </row>
    <row r="1433" spans="1:5" ht="17">
      <c r="A1433" s="1" t="s">
        <v>68</v>
      </c>
      <c r="B1433" s="27" t="s">
        <v>17</v>
      </c>
      <c r="C1433" s="14" t="s">
        <v>980</v>
      </c>
      <c r="D1433" s="14">
        <v>230</v>
      </c>
      <c r="E1433" s="15">
        <f>1.074-0.536-0.004-0.027</f>
        <v>0.50700000000000001</v>
      </c>
    </row>
    <row r="1434" spans="1:5" ht="17">
      <c r="A1434" s="1" t="s">
        <v>68</v>
      </c>
      <c r="B1434" s="27" t="s">
        <v>17</v>
      </c>
      <c r="C1434" s="14" t="s">
        <v>709</v>
      </c>
      <c r="D1434" s="14">
        <v>230</v>
      </c>
      <c r="E1434" s="16">
        <f>2.818</f>
        <v>2.8180000000000001</v>
      </c>
    </row>
    <row r="1435" spans="1:5" ht="17">
      <c r="A1435" s="1" t="s">
        <v>68</v>
      </c>
      <c r="B1435" s="27" t="s">
        <v>17</v>
      </c>
      <c r="C1435" s="14" t="s">
        <v>709</v>
      </c>
      <c r="D1435" s="14">
        <v>250</v>
      </c>
      <c r="E1435" s="16">
        <f>2.6</f>
        <v>2.6</v>
      </c>
    </row>
    <row r="1436" spans="1:5" ht="17">
      <c r="A1436" s="1" t="s">
        <v>68</v>
      </c>
      <c r="B1436" s="27" t="s">
        <v>17</v>
      </c>
      <c r="C1436" s="14" t="s">
        <v>709</v>
      </c>
      <c r="D1436" s="14">
        <v>260</v>
      </c>
      <c r="E1436" s="16">
        <f>6.875</f>
        <v>6.875</v>
      </c>
    </row>
    <row r="1437" spans="1:5" ht="17">
      <c r="A1437" s="1" t="s">
        <v>68</v>
      </c>
      <c r="B1437" s="27" t="s">
        <v>17</v>
      </c>
      <c r="C1437" s="14" t="s">
        <v>981</v>
      </c>
      <c r="D1437" s="17">
        <v>280</v>
      </c>
      <c r="E1437" s="18">
        <f>0.435-0.305</f>
        <v>0.13</v>
      </c>
    </row>
    <row r="1438" spans="1:5" ht="17">
      <c r="A1438" s="1" t="s">
        <v>68</v>
      </c>
      <c r="B1438" s="27" t="s">
        <v>17</v>
      </c>
      <c r="C1438" s="14" t="s">
        <v>709</v>
      </c>
      <c r="D1438" s="17">
        <v>280</v>
      </c>
      <c r="E1438" s="18">
        <f>8.384-1.474-2.832</f>
        <v>4.0780000000000003</v>
      </c>
    </row>
    <row r="1439" spans="1:5" ht="17">
      <c r="A1439" s="1" t="s">
        <v>68</v>
      </c>
      <c r="B1439" s="27" t="s">
        <v>17</v>
      </c>
      <c r="C1439" s="14" t="s">
        <v>709</v>
      </c>
      <c r="D1439" s="17">
        <v>310</v>
      </c>
      <c r="E1439" s="18">
        <f>4.253</f>
        <v>4.2530000000000001</v>
      </c>
    </row>
    <row r="1440" spans="1:5" ht="17">
      <c r="A1440" s="1" t="s">
        <v>68</v>
      </c>
      <c r="B1440" s="27" t="s">
        <v>56</v>
      </c>
      <c r="C1440" s="14" t="s">
        <v>709</v>
      </c>
      <c r="D1440" s="21">
        <v>320</v>
      </c>
      <c r="E1440" s="16">
        <f>3.356-1.974</f>
        <v>1.3819999999999999</v>
      </c>
    </row>
    <row r="1441" spans="1:5" ht="17">
      <c r="A1441" s="1" t="s">
        <v>68</v>
      </c>
      <c r="B1441" s="27" t="s">
        <v>17</v>
      </c>
      <c r="C1441" s="14" t="s">
        <v>709</v>
      </c>
      <c r="D1441" s="21">
        <v>320</v>
      </c>
      <c r="E1441" s="16">
        <f>4.243</f>
        <v>4.2430000000000003</v>
      </c>
    </row>
    <row r="1442" spans="1:5" ht="17">
      <c r="A1442" s="1" t="s">
        <v>68</v>
      </c>
      <c r="B1442" s="27" t="s">
        <v>56</v>
      </c>
      <c r="C1442" s="14" t="s">
        <v>709</v>
      </c>
      <c r="D1442" s="21">
        <v>330</v>
      </c>
      <c r="E1442" s="16">
        <f>3.556</f>
        <v>3.556</v>
      </c>
    </row>
    <row r="1443" spans="1:5" ht="17">
      <c r="A1443" s="1" t="s">
        <v>68</v>
      </c>
      <c r="B1443" s="27" t="s">
        <v>17</v>
      </c>
      <c r="C1443" s="14" t="s">
        <v>709</v>
      </c>
      <c r="D1443" s="21">
        <v>350</v>
      </c>
      <c r="E1443" s="16">
        <f>4.18</f>
        <v>4.18</v>
      </c>
    </row>
    <row r="1444" spans="1:5" ht="17">
      <c r="A1444" s="1" t="s">
        <v>68</v>
      </c>
      <c r="B1444" s="27" t="s">
        <v>17</v>
      </c>
      <c r="C1444" s="14" t="s">
        <v>709</v>
      </c>
      <c r="D1444" s="21">
        <v>360</v>
      </c>
      <c r="E1444" s="16">
        <f>4.555</f>
        <v>4.5549999999999997</v>
      </c>
    </row>
    <row r="1445" spans="1:5" ht="17">
      <c r="A1445" s="1" t="s">
        <v>68</v>
      </c>
      <c r="B1445" s="27" t="s">
        <v>17</v>
      </c>
      <c r="C1445" s="14" t="s">
        <v>709</v>
      </c>
      <c r="D1445" s="21">
        <v>380</v>
      </c>
      <c r="E1445" s="16">
        <f>4.53-0.616</f>
        <v>3.9140000000000001</v>
      </c>
    </row>
    <row r="1446" spans="1:5" ht="17">
      <c r="A1446" s="1" t="s">
        <v>68</v>
      </c>
      <c r="B1446" s="27" t="s">
        <v>17</v>
      </c>
      <c r="C1446" s="14" t="s">
        <v>709</v>
      </c>
      <c r="D1446" s="21">
        <v>400</v>
      </c>
      <c r="E1446" s="16">
        <f>4.56-0.098</f>
        <v>4.4619999999999997</v>
      </c>
    </row>
    <row r="1447" spans="1:5" ht="17">
      <c r="A1447" s="1" t="s">
        <v>68</v>
      </c>
      <c r="B1447" s="27" t="s">
        <v>56</v>
      </c>
      <c r="C1447" s="14" t="s">
        <v>709</v>
      </c>
      <c r="D1447" s="21">
        <v>487</v>
      </c>
      <c r="E1447" s="16">
        <f>6.336-0.464-1.2-0.8-1.1</f>
        <v>2.7719999999999998</v>
      </c>
    </row>
    <row r="1448" spans="1:5" ht="17">
      <c r="A1448" s="1" t="s">
        <v>68</v>
      </c>
      <c r="B1448" s="23" t="s">
        <v>19</v>
      </c>
      <c r="C1448" s="14" t="s">
        <v>728</v>
      </c>
      <c r="D1448" s="21">
        <v>10</v>
      </c>
      <c r="E1448" s="16">
        <f>0.522-0.018-0.072-0.016-0.016-0.015-0.078-0.024-0.035-0.015-0.006-0.014-0.02</f>
        <v>0.19299999999999992</v>
      </c>
    </row>
    <row r="1449" spans="1:5" ht="17">
      <c r="A1449" s="1" t="s">
        <v>68</v>
      </c>
      <c r="B1449" s="23" t="s">
        <v>19</v>
      </c>
      <c r="C1449" s="14" t="s">
        <v>728</v>
      </c>
      <c r="D1449" s="21">
        <v>12</v>
      </c>
      <c r="E1449" s="16">
        <f>0.785-0.016-0.102-0.016-0.101-0.016-0.055-0.199-0.199-0.03-0.005-0.021</f>
        <v>2.5000000000000019E-2</v>
      </c>
    </row>
    <row r="1450" spans="1:5" ht="17">
      <c r="A1450" s="1" t="s">
        <v>68</v>
      </c>
      <c r="B1450" s="23" t="s">
        <v>19</v>
      </c>
      <c r="C1450" s="14" t="s">
        <v>728</v>
      </c>
      <c r="D1450" s="21">
        <v>14</v>
      </c>
      <c r="E1450" s="16">
        <f>1.306-1-0.01-0.02</f>
        <v>0.27600000000000002</v>
      </c>
    </row>
    <row r="1451" spans="1:5" ht="17">
      <c r="A1451" s="1" t="s">
        <v>68</v>
      </c>
      <c r="B1451" s="23" t="s">
        <v>19</v>
      </c>
      <c r="C1451" s="14" t="s">
        <v>728</v>
      </c>
      <c r="D1451" s="21">
        <v>18</v>
      </c>
      <c r="E1451" s="16">
        <f>0.496-0.011-0.023</f>
        <v>0.46199999999999997</v>
      </c>
    </row>
    <row r="1452" spans="1:5" ht="17">
      <c r="A1452" s="1" t="s">
        <v>68</v>
      </c>
      <c r="B1452" s="23" t="s">
        <v>19</v>
      </c>
      <c r="C1452" s="14" t="s">
        <v>728</v>
      </c>
      <c r="D1452" s="21">
        <v>20</v>
      </c>
      <c r="E1452" s="16">
        <f>1.216-0.016-0.055-0.012-0.015-0.015-0.148-0.026-0.014-0.028-0.014-0.04-0.1-0.1-0.024-0.015-0.011-0.036-0.098-0.008-0.3-0.013-0.1</f>
        <v>2.8000000000000053E-2</v>
      </c>
    </row>
    <row r="1453" spans="1:5" ht="17">
      <c r="A1453" s="1" t="s">
        <v>68</v>
      </c>
      <c r="B1453" s="23" t="s">
        <v>19</v>
      </c>
      <c r="C1453" s="14" t="s">
        <v>728</v>
      </c>
      <c r="D1453" s="21">
        <v>20</v>
      </c>
      <c r="E1453" s="16">
        <f>1.908-0.014-0.014-0.042-0.5-0.255</f>
        <v>1.0829999999999997</v>
      </c>
    </row>
    <row r="1454" spans="1:5" ht="17">
      <c r="A1454" s="1" t="s">
        <v>68</v>
      </c>
      <c r="B1454" s="23" t="s">
        <v>19</v>
      </c>
      <c r="C1454" s="14" t="s">
        <v>728</v>
      </c>
      <c r="D1454" s="21">
        <v>25</v>
      </c>
      <c r="E1454" s="16">
        <f>0.892-0.144-0.02-0.064-0.022-0.022-0.502-0.024</f>
        <v>9.3999999999999889E-2</v>
      </c>
    </row>
    <row r="1455" spans="1:5" ht="17">
      <c r="A1455" s="1" t="s">
        <v>68</v>
      </c>
      <c r="B1455" s="23" t="s">
        <v>19</v>
      </c>
      <c r="C1455" s="14" t="s">
        <v>728</v>
      </c>
      <c r="D1455" s="21">
        <v>25</v>
      </c>
      <c r="E1455" s="16">
        <f>1.46-0.021-0.046-0.061-0.8-0.041-0.2</f>
        <v>0.29100000000000004</v>
      </c>
    </row>
    <row r="1456" spans="1:5" ht="17">
      <c r="A1456" s="1" t="s">
        <v>68</v>
      </c>
      <c r="B1456" s="23" t="s">
        <v>19</v>
      </c>
      <c r="C1456" s="14" t="s">
        <v>728</v>
      </c>
      <c r="D1456" s="21">
        <v>25</v>
      </c>
      <c r="E1456" s="16">
        <f>1.45-0.996</f>
        <v>0.45399999999999996</v>
      </c>
    </row>
    <row r="1457" spans="1:5" ht="17">
      <c r="A1457" s="1" t="s">
        <v>68</v>
      </c>
      <c r="B1457" s="23" t="s">
        <v>19</v>
      </c>
      <c r="C1457" s="14" t="s">
        <v>728</v>
      </c>
      <c r="D1457" s="21">
        <v>30</v>
      </c>
      <c r="E1457" s="16">
        <f>0.563-0.353-0.024-0.071-0.023-0.024-0.011</f>
        <v>5.6999999999999981E-2</v>
      </c>
    </row>
    <row r="1458" spans="1:5" ht="17">
      <c r="A1458" s="1" t="s">
        <v>68</v>
      </c>
      <c r="B1458" s="23" t="s">
        <v>19</v>
      </c>
      <c r="C1458" s="14" t="s">
        <v>728</v>
      </c>
      <c r="D1458" s="21">
        <v>30</v>
      </c>
      <c r="E1458" s="16">
        <f>2.3-0.122-0.031-0.214-0.03-0.142-0.06-0.018-0.023-0.092-0.023-0.031-0.031-0.092-0.014-0.157-0.02-0.012-0.95-0.092-0.12</f>
        <v>2.5999999999999995E-2</v>
      </c>
    </row>
    <row r="1459" spans="1:5" ht="17">
      <c r="A1459" s="1" t="s">
        <v>68</v>
      </c>
      <c r="B1459" s="23" t="s">
        <v>19</v>
      </c>
      <c r="C1459" s="14" t="s">
        <v>728</v>
      </c>
      <c r="D1459" s="21">
        <v>30</v>
      </c>
      <c r="E1459" s="16">
        <f>0.93-0.059-0.027-0.029-0.8</f>
        <v>1.4999999999999902E-2</v>
      </c>
    </row>
    <row r="1460" spans="1:5" ht="17">
      <c r="A1460" s="1" t="s">
        <v>68</v>
      </c>
      <c r="B1460" s="23" t="s">
        <v>19</v>
      </c>
      <c r="C1460" s="14" t="s">
        <v>728</v>
      </c>
      <c r="D1460" s="21">
        <v>30</v>
      </c>
      <c r="E1460" s="16">
        <f>2.216-0.027-1.193-0.028-0.038-0.081-0.1-0.16</f>
        <v>0.58899999999999997</v>
      </c>
    </row>
    <row r="1461" spans="1:5" ht="17">
      <c r="A1461" s="1" t="s">
        <v>68</v>
      </c>
      <c r="B1461" s="23" t="s">
        <v>19</v>
      </c>
      <c r="C1461" s="14" t="s">
        <v>728</v>
      </c>
      <c r="D1461" s="21">
        <v>36</v>
      </c>
      <c r="E1461" s="16">
        <f>0.574-0.208-0.014</f>
        <v>0.35199999999999998</v>
      </c>
    </row>
    <row r="1462" spans="1:5" ht="17">
      <c r="A1462" s="1" t="s">
        <v>68</v>
      </c>
      <c r="B1462" s="23" t="s">
        <v>19</v>
      </c>
      <c r="C1462" s="14" t="s">
        <v>728</v>
      </c>
      <c r="D1462" s="21">
        <v>45</v>
      </c>
      <c r="E1462" s="16">
        <f>1.078-0.364-0.101-0.176-0.121-0.015</f>
        <v>0.3010000000000001</v>
      </c>
    </row>
    <row r="1463" spans="1:5" ht="17">
      <c r="A1463" s="1" t="s">
        <v>68</v>
      </c>
      <c r="B1463" s="23" t="s">
        <v>19</v>
      </c>
      <c r="C1463" s="14" t="s">
        <v>728</v>
      </c>
      <c r="D1463" s="21">
        <v>50</v>
      </c>
      <c r="E1463" s="16">
        <f>3.578-0.485-0.052-0.225-0.048-0.081-0.2</f>
        <v>2.4869999999999997</v>
      </c>
    </row>
    <row r="1464" spans="1:5" ht="17">
      <c r="A1464" s="1" t="s">
        <v>68</v>
      </c>
      <c r="B1464" s="23" t="s">
        <v>19</v>
      </c>
      <c r="C1464" s="14" t="s">
        <v>728</v>
      </c>
      <c r="D1464" s="21">
        <v>55</v>
      </c>
      <c r="E1464" s="16">
        <f>1.098-0.058</f>
        <v>1.04</v>
      </c>
    </row>
    <row r="1465" spans="1:5" ht="17">
      <c r="A1465" s="1" t="s">
        <v>68</v>
      </c>
      <c r="B1465" s="23" t="s">
        <v>19</v>
      </c>
      <c r="C1465" s="14" t="s">
        <v>728</v>
      </c>
      <c r="D1465" s="21">
        <v>55</v>
      </c>
      <c r="E1465" s="16">
        <f>1.598</f>
        <v>1.5980000000000001</v>
      </c>
    </row>
    <row r="1466" spans="1:5" ht="17">
      <c r="A1466" s="1" t="s">
        <v>68</v>
      </c>
      <c r="B1466" s="23" t="s">
        <v>19</v>
      </c>
      <c r="C1466" s="14" t="s">
        <v>728</v>
      </c>
      <c r="D1466" s="21">
        <v>60</v>
      </c>
      <c r="E1466" s="16">
        <f>3.262-0.234-0.31-0.055-0.098-0.046-0.046-0.023-0.095-0.085-0.25</f>
        <v>2.02</v>
      </c>
    </row>
    <row r="1467" spans="1:5" ht="17">
      <c r="A1467" s="1" t="s">
        <v>68</v>
      </c>
      <c r="B1467" s="23" t="s">
        <v>19</v>
      </c>
      <c r="C1467" s="14" t="s">
        <v>728</v>
      </c>
      <c r="D1467" s="21">
        <v>65</v>
      </c>
      <c r="E1467" s="16">
        <f>1.726-0.992-0.094-0.192-0.027-0.4</f>
        <v>2.0999999999999963E-2</v>
      </c>
    </row>
    <row r="1468" spans="1:5" ht="17">
      <c r="A1468" s="1" t="s">
        <v>68</v>
      </c>
      <c r="B1468" s="23" t="s">
        <v>19</v>
      </c>
      <c r="C1468" s="14" t="s">
        <v>709</v>
      </c>
      <c r="D1468" s="21">
        <v>70</v>
      </c>
      <c r="E1468" s="16">
        <f>4.412-0.396-0.544-0.394-0.066-0.13-0.087-0.4</f>
        <v>2.395</v>
      </c>
    </row>
    <row r="1469" spans="1:5" ht="17">
      <c r="A1469" s="1" t="s">
        <v>68</v>
      </c>
      <c r="B1469" s="23" t="s">
        <v>19</v>
      </c>
      <c r="C1469" s="14" t="s">
        <v>728</v>
      </c>
      <c r="D1469" s="21">
        <v>75</v>
      </c>
      <c r="E1469" s="16">
        <f>0.715-0.412-0.068</f>
        <v>0.23499999999999999</v>
      </c>
    </row>
    <row r="1470" spans="1:5" ht="17">
      <c r="A1470" s="1" t="s">
        <v>68</v>
      </c>
      <c r="B1470" s="23" t="s">
        <v>19</v>
      </c>
      <c r="C1470" s="14" t="s">
        <v>709</v>
      </c>
      <c r="D1470" s="21">
        <v>75</v>
      </c>
      <c r="E1470" s="16">
        <f>0.393-0.146-0.074</f>
        <v>0.17300000000000004</v>
      </c>
    </row>
    <row r="1471" spans="1:5" ht="17">
      <c r="A1471" s="1" t="s">
        <v>68</v>
      </c>
      <c r="B1471" s="23" t="s">
        <v>19</v>
      </c>
      <c r="C1471" s="14" t="s">
        <v>709</v>
      </c>
      <c r="D1471" s="21">
        <v>75</v>
      </c>
      <c r="E1471" s="16">
        <f>2.562</f>
        <v>2.5619999999999998</v>
      </c>
    </row>
    <row r="1472" spans="1:5" ht="17">
      <c r="A1472" s="1" t="s">
        <v>68</v>
      </c>
      <c r="B1472" s="23" t="s">
        <v>19</v>
      </c>
      <c r="C1472" s="14" t="s">
        <v>709</v>
      </c>
      <c r="D1472" s="21">
        <v>80</v>
      </c>
      <c r="E1472" s="16">
        <f>2.528-1.456-0.16-0.77</f>
        <v>0.14200000000000002</v>
      </c>
    </row>
    <row r="1473" spans="1:5" ht="17">
      <c r="A1473" s="1" t="s">
        <v>68</v>
      </c>
      <c r="B1473" s="23" t="s">
        <v>19</v>
      </c>
      <c r="C1473" s="14" t="s">
        <v>709</v>
      </c>
      <c r="D1473" s="21">
        <v>80</v>
      </c>
      <c r="E1473" s="16">
        <f>5.008</f>
        <v>5.008</v>
      </c>
    </row>
    <row r="1474" spans="1:5" ht="17">
      <c r="A1474" s="1" t="s">
        <v>68</v>
      </c>
      <c r="B1474" s="23" t="s">
        <v>19</v>
      </c>
      <c r="C1474" s="14" t="s">
        <v>709</v>
      </c>
      <c r="D1474" s="21">
        <v>85</v>
      </c>
      <c r="E1474" s="16">
        <f>1.008</f>
        <v>1.008</v>
      </c>
    </row>
    <row r="1475" spans="1:5" ht="17">
      <c r="A1475" s="1" t="s">
        <v>68</v>
      </c>
      <c r="B1475" s="23" t="s">
        <v>19</v>
      </c>
      <c r="C1475" s="14" t="s">
        <v>709</v>
      </c>
      <c r="D1475" s="21">
        <v>90</v>
      </c>
      <c r="E1475" s="16">
        <f>2.634-0.476-0.162-0.054-0.109-1.048-0.5</f>
        <v>0.28499999999999992</v>
      </c>
    </row>
    <row r="1476" spans="1:5" ht="17">
      <c r="A1476" s="1" t="s">
        <v>68</v>
      </c>
      <c r="B1476" s="23" t="s">
        <v>19</v>
      </c>
      <c r="C1476" s="14" t="s">
        <v>709</v>
      </c>
      <c r="D1476" s="21">
        <v>90</v>
      </c>
      <c r="E1476" s="16">
        <f>3.374-2.05</f>
        <v>1.3240000000000003</v>
      </c>
    </row>
    <row r="1477" spans="1:5" ht="17">
      <c r="A1477" s="1" t="s">
        <v>68</v>
      </c>
      <c r="B1477" s="23" t="s">
        <v>19</v>
      </c>
      <c r="C1477" s="14" t="s">
        <v>709</v>
      </c>
      <c r="D1477" s="21">
        <v>90</v>
      </c>
      <c r="E1477" s="16">
        <f>3.008</f>
        <v>3.008</v>
      </c>
    </row>
    <row r="1478" spans="1:5" ht="17">
      <c r="A1478" s="1" t="s">
        <v>68</v>
      </c>
      <c r="B1478" s="26" t="s">
        <v>19</v>
      </c>
      <c r="C1478" s="14" t="s">
        <v>709</v>
      </c>
      <c r="D1478" s="14">
        <v>100</v>
      </c>
      <c r="E1478" s="16">
        <f>6.206-0.485-0.52-0.205-0.5-0.185-0.568-2.605-0.132-0.488-0.144-0.3</f>
        <v>7.4000000000000676E-2</v>
      </c>
    </row>
    <row r="1479" spans="1:5" ht="17">
      <c r="A1479" s="1" t="s">
        <v>68</v>
      </c>
      <c r="B1479" s="23" t="s">
        <v>19</v>
      </c>
      <c r="C1479" s="14" t="s">
        <v>709</v>
      </c>
      <c r="D1479" s="21">
        <v>100</v>
      </c>
      <c r="E1479" s="16">
        <f>6.164-0.79-1.6-0.275-1.038-0.066-1.085-0.126-0.066-0.272-0.194</f>
        <v>0.65199999999999969</v>
      </c>
    </row>
    <row r="1480" spans="1:5" ht="17">
      <c r="A1480" s="1" t="s">
        <v>68</v>
      </c>
      <c r="B1480" s="23" t="s">
        <v>19</v>
      </c>
      <c r="C1480" s="14" t="s">
        <v>709</v>
      </c>
      <c r="D1480" s="21">
        <v>100</v>
      </c>
      <c r="E1480" s="16">
        <f>3.258-1.514-0.5</f>
        <v>1.244</v>
      </c>
    </row>
    <row r="1481" spans="1:5" ht="17">
      <c r="A1481" s="1" t="s">
        <v>68</v>
      </c>
      <c r="B1481" s="26" t="s">
        <v>19</v>
      </c>
      <c r="C1481" s="14" t="s">
        <v>709</v>
      </c>
      <c r="D1481" s="14">
        <v>110</v>
      </c>
      <c r="E1481" s="16">
        <f>2.492-0.262-0.512-0.249-0.134-0.03-0.59-0.494-0.04</f>
        <v>0.18099999999999997</v>
      </c>
    </row>
    <row r="1482" spans="1:5" ht="17">
      <c r="A1482" s="1" t="s">
        <v>68</v>
      </c>
      <c r="B1482" s="23" t="s">
        <v>19</v>
      </c>
      <c r="C1482" s="14" t="s">
        <v>709</v>
      </c>
      <c r="D1482" s="21">
        <v>110</v>
      </c>
      <c r="E1482" s="16">
        <f>2.894-0.536-1.036-1.052-0.036</f>
        <v>0.23400000000000001</v>
      </c>
    </row>
    <row r="1483" spans="1:5" ht="17">
      <c r="A1483" s="1" t="s">
        <v>68</v>
      </c>
      <c r="B1483" s="23" t="s">
        <v>19</v>
      </c>
      <c r="C1483" s="14" t="s">
        <v>709</v>
      </c>
      <c r="D1483" s="21">
        <v>110</v>
      </c>
      <c r="E1483" s="16">
        <f>2.924-1.808-0.736-0.08</f>
        <v>0.29999999999999988</v>
      </c>
    </row>
    <row r="1484" spans="1:5" ht="17">
      <c r="A1484" s="1" t="s">
        <v>68</v>
      </c>
      <c r="B1484" s="23" t="s">
        <v>19</v>
      </c>
      <c r="C1484" s="14" t="s">
        <v>709</v>
      </c>
      <c r="D1484" s="21">
        <v>110</v>
      </c>
      <c r="E1484" s="16">
        <f>3.492-0.158</f>
        <v>3.3340000000000001</v>
      </c>
    </row>
    <row r="1485" spans="1:5" ht="17">
      <c r="A1485" s="1" t="s">
        <v>68</v>
      </c>
      <c r="B1485" s="23" t="s">
        <v>19</v>
      </c>
      <c r="C1485" s="14" t="s">
        <v>709</v>
      </c>
      <c r="D1485" s="21">
        <v>120</v>
      </c>
      <c r="E1485" s="16">
        <f>4.362-0.734-1.116-0.152-0.35-0.378-0.7-0.114-0.094-0.208-0.05-0.301</f>
        <v>0.16499999999999981</v>
      </c>
    </row>
    <row r="1486" spans="1:5" ht="17">
      <c r="A1486" s="1" t="s">
        <v>68</v>
      </c>
      <c r="B1486" s="23" t="s">
        <v>19</v>
      </c>
      <c r="C1486" s="14" t="s">
        <v>709</v>
      </c>
      <c r="D1486" s="21">
        <v>130</v>
      </c>
      <c r="E1486" s="16">
        <f>3.806-0.22-0.5-0.306-1.8-0.651</f>
        <v>0.32899999999999974</v>
      </c>
    </row>
    <row r="1487" spans="1:5" ht="17">
      <c r="A1487" s="1" t="s">
        <v>68</v>
      </c>
      <c r="B1487" s="26" t="s">
        <v>19</v>
      </c>
      <c r="C1487" s="14" t="s">
        <v>709</v>
      </c>
      <c r="D1487" s="14">
        <v>140</v>
      </c>
      <c r="E1487" s="16">
        <f>4.452-0.984-0.212-0.058-0.188-0.5-0.44</f>
        <v>2.0699999999999998</v>
      </c>
    </row>
    <row r="1488" spans="1:5" ht="17">
      <c r="A1488" s="1" t="s">
        <v>68</v>
      </c>
      <c r="B1488" s="23" t="s">
        <v>19</v>
      </c>
      <c r="C1488" s="21" t="s">
        <v>709</v>
      </c>
      <c r="D1488" s="21">
        <v>150</v>
      </c>
      <c r="E1488" s="16">
        <f>3.59-0.29-0.5-1.516-0.65</f>
        <v>0.63399999999999979</v>
      </c>
    </row>
    <row r="1489" spans="1:5" ht="17">
      <c r="A1489" s="1" t="s">
        <v>68</v>
      </c>
      <c r="B1489" s="23" t="s">
        <v>19</v>
      </c>
      <c r="C1489" s="21" t="s">
        <v>709</v>
      </c>
      <c r="D1489" s="21">
        <v>150</v>
      </c>
      <c r="E1489" s="16">
        <f>4.7-0.55</f>
        <v>4.1500000000000004</v>
      </c>
    </row>
    <row r="1490" spans="1:5" ht="17">
      <c r="A1490" s="1" t="s">
        <v>68</v>
      </c>
      <c r="B1490" s="26" t="s">
        <v>19</v>
      </c>
      <c r="C1490" s="14" t="s">
        <v>709</v>
      </c>
      <c r="D1490" s="14">
        <v>170</v>
      </c>
      <c r="E1490" s="16">
        <f>6.692-0.094-0.188</f>
        <v>6.41</v>
      </c>
    </row>
    <row r="1491" spans="1:5" ht="17">
      <c r="A1491" s="1" t="s">
        <v>68</v>
      </c>
      <c r="B1491" s="26" t="s">
        <v>19</v>
      </c>
      <c r="C1491" s="14" t="s">
        <v>709</v>
      </c>
      <c r="D1491" s="14">
        <v>180</v>
      </c>
      <c r="E1491" s="16">
        <f>6.71-0.066-0.406-0.308-0.037</f>
        <v>5.8930000000000007</v>
      </c>
    </row>
    <row r="1492" spans="1:5" ht="17">
      <c r="A1492" s="1" t="s">
        <v>68</v>
      </c>
      <c r="B1492" s="23" t="s">
        <v>19</v>
      </c>
      <c r="C1492" s="14" t="s">
        <v>709</v>
      </c>
      <c r="D1492" s="21">
        <v>190</v>
      </c>
      <c r="E1492" s="16">
        <f>3.058-1.465-0.106-0.232</f>
        <v>1.2549999999999997</v>
      </c>
    </row>
    <row r="1493" spans="1:5" ht="17">
      <c r="A1493" s="1" t="s">
        <v>68</v>
      </c>
      <c r="B1493" s="23" t="s">
        <v>19</v>
      </c>
      <c r="C1493" s="14" t="s">
        <v>709</v>
      </c>
      <c r="D1493" s="21">
        <v>190</v>
      </c>
      <c r="E1493" s="16">
        <f>5.11-0.5-0.169-1.7</f>
        <v>2.7410000000000005</v>
      </c>
    </row>
    <row r="1494" spans="1:5" ht="17">
      <c r="A1494" s="1" t="s">
        <v>68</v>
      </c>
      <c r="B1494" s="23" t="s">
        <v>19</v>
      </c>
      <c r="C1494" s="14" t="s">
        <v>709</v>
      </c>
      <c r="D1494" s="21">
        <v>200</v>
      </c>
      <c r="E1494" s="16">
        <f>4.866-0.08-0.586-2.446-0.104-0.51-0.258-0.398-0.018</f>
        <v>0.46599999999999897</v>
      </c>
    </row>
    <row r="1495" spans="1:5" ht="17">
      <c r="A1495" s="1" t="s">
        <v>68</v>
      </c>
      <c r="B1495" s="23" t="s">
        <v>19</v>
      </c>
      <c r="C1495" s="14" t="s">
        <v>709</v>
      </c>
      <c r="D1495" s="21">
        <v>200</v>
      </c>
      <c r="E1495" s="16">
        <f>3.093-0.252-1.55-0.25</f>
        <v>1.0410000000000001</v>
      </c>
    </row>
    <row r="1496" spans="1:5" ht="17">
      <c r="A1496" s="1" t="s">
        <v>68</v>
      </c>
      <c r="B1496" s="26" t="s">
        <v>19</v>
      </c>
      <c r="C1496" s="14" t="s">
        <v>709</v>
      </c>
      <c r="D1496" s="14">
        <v>210</v>
      </c>
      <c r="E1496" s="16">
        <f>2.556-0.728-0.5-0.093-0.658-0.142</f>
        <v>0.43500000000000005</v>
      </c>
    </row>
    <row r="1497" spans="1:5" ht="17">
      <c r="A1497" s="1" t="s">
        <v>68</v>
      </c>
      <c r="B1497" s="26" t="s">
        <v>19</v>
      </c>
      <c r="C1497" s="14" t="s">
        <v>709</v>
      </c>
      <c r="D1497" s="14">
        <v>220</v>
      </c>
      <c r="E1497" s="16">
        <f>1.61-0.102-0.31-0.302-0.064-0.456-0.094-0.09-0.044</f>
        <v>0.1479999999999998</v>
      </c>
    </row>
    <row r="1498" spans="1:5" ht="17">
      <c r="A1498" s="1" t="s">
        <v>68</v>
      </c>
      <c r="B1498" s="26" t="s">
        <v>19</v>
      </c>
      <c r="C1498" s="14" t="s">
        <v>709</v>
      </c>
      <c r="D1498" s="14">
        <v>220</v>
      </c>
      <c r="E1498" s="16">
        <f>5.994-0.276-0.27-0.086-0.125</f>
        <v>5.2370000000000001</v>
      </c>
    </row>
    <row r="1499" spans="1:5" ht="17">
      <c r="A1499" s="1" t="s">
        <v>68</v>
      </c>
      <c r="B1499" s="26" t="s">
        <v>19</v>
      </c>
      <c r="C1499" s="14" t="s">
        <v>709</v>
      </c>
      <c r="D1499" s="14">
        <v>220</v>
      </c>
      <c r="E1499" s="16">
        <f>2.728</f>
        <v>2.7280000000000002</v>
      </c>
    </row>
    <row r="1500" spans="1:5" ht="17">
      <c r="A1500" s="1" t="s">
        <v>68</v>
      </c>
      <c r="B1500" s="26" t="s">
        <v>19</v>
      </c>
      <c r="C1500" s="14" t="s">
        <v>709</v>
      </c>
      <c r="D1500" s="14">
        <v>230</v>
      </c>
      <c r="E1500" s="16">
        <f>3.764-1.246+(1.246)-1.248-0.544-0.852-0.098-0.17-0.398</f>
        <v>0.45399999999999996</v>
      </c>
    </row>
    <row r="1501" spans="1:5" ht="17">
      <c r="A1501" s="1" t="s">
        <v>68</v>
      </c>
      <c r="B1501" s="26" t="s">
        <v>19</v>
      </c>
      <c r="C1501" s="14" t="s">
        <v>709</v>
      </c>
      <c r="D1501" s="14">
        <v>230</v>
      </c>
      <c r="E1501" s="16">
        <f>3.578-2.6</f>
        <v>0.97799999999999976</v>
      </c>
    </row>
    <row r="1502" spans="1:5" ht="17">
      <c r="A1502" s="1" t="s">
        <v>68</v>
      </c>
      <c r="B1502" s="26" t="s">
        <v>19</v>
      </c>
      <c r="C1502" s="14" t="s">
        <v>709</v>
      </c>
      <c r="D1502" s="14">
        <v>230</v>
      </c>
      <c r="E1502" s="16">
        <f>3.3</f>
        <v>3.3</v>
      </c>
    </row>
    <row r="1503" spans="1:5" ht="17">
      <c r="A1503" s="1" t="s">
        <v>68</v>
      </c>
      <c r="B1503" s="26" t="s">
        <v>19</v>
      </c>
      <c r="C1503" s="14" t="s">
        <v>709</v>
      </c>
      <c r="D1503" s="14">
        <v>240</v>
      </c>
      <c r="E1503" s="16">
        <f>4.136-0.546-2.11-0.24-0.022-0.022-0.58-0.064</f>
        <v>0.55200000000000005</v>
      </c>
    </row>
    <row r="1504" spans="1:5" ht="17">
      <c r="A1504" s="1" t="s">
        <v>68</v>
      </c>
      <c r="B1504" s="23" t="s">
        <v>19</v>
      </c>
      <c r="C1504" s="14" t="s">
        <v>709</v>
      </c>
      <c r="D1504" s="21">
        <v>240</v>
      </c>
      <c r="E1504" s="16">
        <f>1.256-0.58</f>
        <v>0.67600000000000005</v>
      </c>
    </row>
    <row r="1505" spans="1:5" ht="17">
      <c r="A1505" s="1" t="s">
        <v>68</v>
      </c>
      <c r="B1505" s="23" t="s">
        <v>19</v>
      </c>
      <c r="C1505" s="14" t="s">
        <v>709</v>
      </c>
      <c r="D1505" s="21">
        <v>240</v>
      </c>
      <c r="E1505" s="16">
        <f>1.458-0.726</f>
        <v>0.73199999999999998</v>
      </c>
    </row>
    <row r="1506" spans="1:5" ht="17">
      <c r="A1506" s="1" t="s">
        <v>68</v>
      </c>
      <c r="B1506" s="23" t="s">
        <v>19</v>
      </c>
      <c r="C1506" s="14" t="s">
        <v>709</v>
      </c>
      <c r="D1506" s="21">
        <v>240</v>
      </c>
      <c r="E1506" s="16">
        <f>5.032-1.288</f>
        <v>3.7439999999999998</v>
      </c>
    </row>
    <row r="1507" spans="1:5" ht="17">
      <c r="A1507" s="1" t="s">
        <v>68</v>
      </c>
      <c r="B1507" s="26" t="s">
        <v>19</v>
      </c>
      <c r="C1507" s="14" t="s">
        <v>709</v>
      </c>
      <c r="D1507" s="14">
        <v>250</v>
      </c>
      <c r="E1507" s="16">
        <f>3.4-0.022-0.08-0.624-0.02-0.026-0.166-0.056-0.786-0.55-0.168-0.5</f>
        <v>0.40200000000000002</v>
      </c>
    </row>
    <row r="1508" spans="1:5" ht="17">
      <c r="A1508" s="1" t="s">
        <v>68</v>
      </c>
      <c r="B1508" s="26" t="s">
        <v>19</v>
      </c>
      <c r="C1508" s="14" t="s">
        <v>709</v>
      </c>
      <c r="D1508" s="14">
        <v>250</v>
      </c>
      <c r="E1508" s="16">
        <f>5.446-0.782-0.516</f>
        <v>4.1479999999999997</v>
      </c>
    </row>
    <row r="1509" spans="1:5" ht="17">
      <c r="A1509" s="1" t="s">
        <v>68</v>
      </c>
      <c r="B1509" s="23" t="s">
        <v>19</v>
      </c>
      <c r="C1509" s="21" t="s">
        <v>982</v>
      </c>
      <c r="D1509" s="21">
        <v>260</v>
      </c>
      <c r="E1509" s="16">
        <f>1.67-0.06-0.096-0.216-0.812-0.125-0.062-0.028</f>
        <v>0.27099999999999974</v>
      </c>
    </row>
    <row r="1510" spans="1:5" ht="17">
      <c r="A1510" s="1" t="s">
        <v>68</v>
      </c>
      <c r="B1510" s="26" t="s">
        <v>19</v>
      </c>
      <c r="C1510" s="14" t="s">
        <v>709</v>
      </c>
      <c r="D1510" s="14">
        <v>260</v>
      </c>
      <c r="E1510" s="16">
        <f>2.062-0.428-0.512-0.06-0.256</f>
        <v>0.80599999999999983</v>
      </c>
    </row>
    <row r="1511" spans="1:5" ht="17">
      <c r="A1511" s="1" t="s">
        <v>68</v>
      </c>
      <c r="B1511" s="26" t="s">
        <v>19</v>
      </c>
      <c r="C1511" s="14" t="s">
        <v>709</v>
      </c>
      <c r="D1511" s="14">
        <v>260</v>
      </c>
      <c r="E1511" s="16">
        <f>4.324-0.426-1.27-1.27-0.442</f>
        <v>0.9159999999999997</v>
      </c>
    </row>
    <row r="1512" spans="1:5" ht="17">
      <c r="A1512" s="1" t="s">
        <v>68</v>
      </c>
      <c r="B1512" s="23" t="s">
        <v>19</v>
      </c>
      <c r="C1512" s="14" t="s">
        <v>709</v>
      </c>
      <c r="D1512" s="21">
        <v>270</v>
      </c>
      <c r="E1512" s="16">
        <f>2.147-0.466-0.076</f>
        <v>1.6049999999999998</v>
      </c>
    </row>
    <row r="1513" spans="1:5" ht="17">
      <c r="A1513" s="1" t="s">
        <v>68</v>
      </c>
      <c r="B1513" s="23" t="s">
        <v>19</v>
      </c>
      <c r="C1513" s="14" t="s">
        <v>709</v>
      </c>
      <c r="D1513" s="21">
        <v>270</v>
      </c>
      <c r="E1513" s="16">
        <f>9.688-2.112-2.7-0.526</f>
        <v>4.3500000000000005</v>
      </c>
    </row>
    <row r="1514" spans="1:5" ht="17">
      <c r="A1514" s="1" t="s">
        <v>68</v>
      </c>
      <c r="B1514" s="23" t="s">
        <v>19</v>
      </c>
      <c r="C1514" s="14" t="s">
        <v>709</v>
      </c>
      <c r="D1514" s="21">
        <v>280</v>
      </c>
      <c r="E1514" s="16">
        <f>2.55-0.064-0.262-0.994</f>
        <v>1.2299999999999998</v>
      </c>
    </row>
    <row r="1515" spans="1:5" ht="17">
      <c r="A1515" s="1" t="s">
        <v>68</v>
      </c>
      <c r="B1515" s="23" t="s">
        <v>19</v>
      </c>
      <c r="C1515" s="14" t="s">
        <v>709</v>
      </c>
      <c r="D1515" s="21">
        <v>280</v>
      </c>
      <c r="E1515" s="16">
        <f>5.062-1.468-1.038</f>
        <v>2.556</v>
      </c>
    </row>
    <row r="1516" spans="1:5" ht="17">
      <c r="A1516" s="1" t="s">
        <v>68</v>
      </c>
      <c r="B1516" s="23" t="s">
        <v>19</v>
      </c>
      <c r="C1516" s="14" t="s">
        <v>709</v>
      </c>
      <c r="D1516" s="21">
        <v>280</v>
      </c>
      <c r="E1516" s="16">
        <f>2.515</f>
        <v>2.5150000000000001</v>
      </c>
    </row>
    <row r="1517" spans="1:5" ht="17">
      <c r="A1517" s="1" t="s">
        <v>68</v>
      </c>
      <c r="B1517" s="23" t="s">
        <v>19</v>
      </c>
      <c r="C1517" s="14" t="s">
        <v>709</v>
      </c>
      <c r="D1517" s="21">
        <v>290</v>
      </c>
      <c r="E1517" s="16">
        <f>10.193-0.624-0.136-0.18-0.27-5.058-0.528-0.52-0.638-0.584-0.315</f>
        <v>1.3400000000000007</v>
      </c>
    </row>
    <row r="1518" spans="1:5" ht="17">
      <c r="A1518" s="1" t="s">
        <v>68</v>
      </c>
      <c r="B1518" s="26" t="s">
        <v>19</v>
      </c>
      <c r="C1518" s="14" t="s">
        <v>709</v>
      </c>
      <c r="D1518" s="14">
        <v>300</v>
      </c>
      <c r="E1518" s="16">
        <f>2.565-1.722-0.152-0.08-0.038-0.082</f>
        <v>0.49099999999999994</v>
      </c>
    </row>
    <row r="1519" spans="1:5" ht="17">
      <c r="A1519" s="1" t="s">
        <v>68</v>
      </c>
      <c r="B1519" s="23" t="s">
        <v>19</v>
      </c>
      <c r="C1519" s="14" t="s">
        <v>709</v>
      </c>
      <c r="D1519" s="21">
        <v>300</v>
      </c>
      <c r="E1519" s="16">
        <f>7.228-1.708-0.289-0.371-3.4</f>
        <v>1.4599999999999995</v>
      </c>
    </row>
    <row r="1520" spans="1:5" ht="17">
      <c r="A1520" s="1" t="s">
        <v>68</v>
      </c>
      <c r="B1520" s="23" t="s">
        <v>19</v>
      </c>
      <c r="C1520" s="14" t="s">
        <v>709</v>
      </c>
      <c r="D1520" s="21">
        <v>300</v>
      </c>
      <c r="E1520" s="16">
        <f>1.508</f>
        <v>1.508</v>
      </c>
    </row>
    <row r="1521" spans="1:5" ht="17">
      <c r="A1521" s="1" t="s">
        <v>68</v>
      </c>
      <c r="B1521" s="23" t="s">
        <v>19</v>
      </c>
      <c r="C1521" s="14" t="s">
        <v>709</v>
      </c>
      <c r="D1521" s="21">
        <v>310</v>
      </c>
      <c r="E1521" s="16">
        <f>3.002-2.424-0.141</f>
        <v>0.43699999999999983</v>
      </c>
    </row>
    <row r="1522" spans="1:5" ht="17">
      <c r="A1522" s="1" t="s">
        <v>68</v>
      </c>
      <c r="B1522" s="23" t="s">
        <v>19</v>
      </c>
      <c r="C1522" s="21" t="s">
        <v>709</v>
      </c>
      <c r="D1522" s="21">
        <v>320</v>
      </c>
      <c r="E1522" s="16">
        <f>2.53-1.602</f>
        <v>0.92799999999999971</v>
      </c>
    </row>
    <row r="1523" spans="1:5" ht="17">
      <c r="A1523" s="1" t="s">
        <v>68</v>
      </c>
      <c r="B1523" s="23" t="s">
        <v>19</v>
      </c>
      <c r="C1523" s="21" t="s">
        <v>709</v>
      </c>
      <c r="D1523" s="21">
        <v>320</v>
      </c>
      <c r="E1523" s="16">
        <f>2.554</f>
        <v>2.5539999999999998</v>
      </c>
    </row>
    <row r="1524" spans="1:5" ht="17">
      <c r="A1524" s="1" t="s">
        <v>68</v>
      </c>
      <c r="B1524" s="23" t="s">
        <v>19</v>
      </c>
      <c r="C1524" s="21" t="s">
        <v>709</v>
      </c>
      <c r="D1524" s="21">
        <v>330</v>
      </c>
      <c r="E1524" s="16">
        <f>10.712-2.121-2.089-0.117-4.413</f>
        <v>1.9719999999999986</v>
      </c>
    </row>
    <row r="1525" spans="1:5" ht="17">
      <c r="A1525" s="1" t="s">
        <v>68</v>
      </c>
      <c r="B1525" s="23" t="s">
        <v>19</v>
      </c>
      <c r="C1525" s="21" t="s">
        <v>709</v>
      </c>
      <c r="D1525" s="21">
        <v>330</v>
      </c>
      <c r="E1525" s="16">
        <f>8.444-5</f>
        <v>3.4440000000000008</v>
      </c>
    </row>
    <row r="1526" spans="1:5" ht="17">
      <c r="A1526" s="1" t="s">
        <v>68</v>
      </c>
      <c r="B1526" s="23" t="s">
        <v>19</v>
      </c>
      <c r="C1526" s="21" t="s">
        <v>709</v>
      </c>
      <c r="D1526" s="21">
        <v>340</v>
      </c>
      <c r="E1526" s="16">
        <f>4.069-1.918</f>
        <v>2.1509999999999998</v>
      </c>
    </row>
    <row r="1527" spans="1:5" ht="17">
      <c r="A1527" s="1" t="s">
        <v>68</v>
      </c>
      <c r="B1527" s="23" t="s">
        <v>19</v>
      </c>
      <c r="C1527" s="21" t="s">
        <v>709</v>
      </c>
      <c r="D1527" s="21">
        <v>340</v>
      </c>
      <c r="E1527" s="16">
        <f>4.26-2.13</f>
        <v>2.13</v>
      </c>
    </row>
    <row r="1528" spans="1:5" ht="17">
      <c r="A1528" s="1" t="s">
        <v>68</v>
      </c>
      <c r="B1528" s="26" t="s">
        <v>19</v>
      </c>
      <c r="C1528" s="14" t="s">
        <v>709</v>
      </c>
      <c r="D1528" s="14">
        <v>350</v>
      </c>
      <c r="E1528" s="16">
        <f>5.035-0.148-0.244-0.338-0.076-0.146</f>
        <v>4.0830000000000011</v>
      </c>
    </row>
    <row r="1529" spans="1:5" ht="17">
      <c r="A1529" s="1" t="s">
        <v>68</v>
      </c>
      <c r="B1529" s="26" t="s">
        <v>19</v>
      </c>
      <c r="C1529" s="14" t="s">
        <v>709</v>
      </c>
      <c r="D1529" s="14">
        <v>370</v>
      </c>
      <c r="E1529" s="16">
        <f>14.502-3.478-0.466-(0.044)-(0.056)-(0.092)-0.972-2.014-0.264-6.522</f>
        <v>0.59400000000000208</v>
      </c>
    </row>
    <row r="1530" spans="1:5" ht="17">
      <c r="A1530" s="1" t="s">
        <v>68</v>
      </c>
      <c r="B1530" s="26" t="s">
        <v>19</v>
      </c>
      <c r="C1530" s="14" t="s">
        <v>709</v>
      </c>
      <c r="D1530" s="14">
        <v>380</v>
      </c>
      <c r="E1530" s="16">
        <f>3.662-2.424</f>
        <v>1.238</v>
      </c>
    </row>
    <row r="1531" spans="1:5" ht="17">
      <c r="A1531" s="1" t="s">
        <v>68</v>
      </c>
      <c r="B1531" s="26" t="s">
        <v>19</v>
      </c>
      <c r="C1531" s="14" t="s">
        <v>709</v>
      </c>
      <c r="D1531" s="14">
        <v>400</v>
      </c>
      <c r="E1531" s="16">
        <f>3.25-0.096-1.1-0.542</f>
        <v>1.5119999999999998</v>
      </c>
    </row>
    <row r="1532" spans="1:5" ht="17">
      <c r="A1532" s="1" t="s">
        <v>68</v>
      </c>
      <c r="B1532" s="26" t="s">
        <v>53</v>
      </c>
      <c r="C1532" s="14" t="s">
        <v>709</v>
      </c>
      <c r="D1532" s="14">
        <v>400</v>
      </c>
      <c r="E1532" s="16">
        <f>5.26</f>
        <v>5.26</v>
      </c>
    </row>
    <row r="1533" spans="1:5" ht="17">
      <c r="A1533" s="1" t="s">
        <v>68</v>
      </c>
      <c r="B1533" s="26" t="s">
        <v>19</v>
      </c>
      <c r="C1533" s="14" t="s">
        <v>709</v>
      </c>
      <c r="D1533" s="14">
        <v>410</v>
      </c>
      <c r="E1533" s="16">
        <f>5.025-3.418</f>
        <v>1.6070000000000002</v>
      </c>
    </row>
    <row r="1534" spans="1:5" ht="17">
      <c r="A1534" s="1" t="s">
        <v>68</v>
      </c>
      <c r="B1534" s="26" t="s">
        <v>19</v>
      </c>
      <c r="C1534" s="14" t="s">
        <v>709</v>
      </c>
      <c r="D1534" s="14">
        <v>410</v>
      </c>
      <c r="E1534" s="16">
        <f>5.28</f>
        <v>5.28</v>
      </c>
    </row>
    <row r="1535" spans="1:5" ht="17">
      <c r="A1535" s="1" t="s">
        <v>68</v>
      </c>
      <c r="B1535" s="26" t="s">
        <v>53</v>
      </c>
      <c r="C1535" s="14" t="s">
        <v>709</v>
      </c>
      <c r="D1535" s="14">
        <v>420</v>
      </c>
      <c r="E1535" s="16">
        <f>5.476</f>
        <v>5.476</v>
      </c>
    </row>
    <row r="1536" spans="1:5" ht="17">
      <c r="A1536" s="1" t="s">
        <v>68</v>
      </c>
      <c r="B1536" s="26" t="s">
        <v>19</v>
      </c>
      <c r="C1536" s="14" t="s">
        <v>709</v>
      </c>
      <c r="D1536" s="14">
        <v>430</v>
      </c>
      <c r="E1536" s="16">
        <f>5</f>
        <v>5</v>
      </c>
    </row>
    <row r="1537" spans="1:5" ht="17">
      <c r="A1537" s="1" t="s">
        <v>68</v>
      </c>
      <c r="B1537" s="26" t="s">
        <v>19</v>
      </c>
      <c r="C1537" s="14" t="s">
        <v>709</v>
      </c>
      <c r="D1537" s="14">
        <v>440</v>
      </c>
      <c r="E1537" s="16">
        <f>4.55-0.182-0.768</f>
        <v>3.5999999999999996</v>
      </c>
    </row>
    <row r="1538" spans="1:5" ht="17">
      <c r="A1538" s="1" t="s">
        <v>68</v>
      </c>
      <c r="B1538" s="26" t="s">
        <v>53</v>
      </c>
      <c r="C1538" s="14" t="s">
        <v>709</v>
      </c>
      <c r="D1538" s="14">
        <v>450</v>
      </c>
      <c r="E1538" s="16">
        <f>3.762-1.06-0.178-0.248-0.386-0.076-0.162-0.392-0.078-0.414-0.4</f>
        <v>0.36799999999999977</v>
      </c>
    </row>
    <row r="1539" spans="1:5" ht="17">
      <c r="A1539" s="1" t="s">
        <v>68</v>
      </c>
      <c r="B1539" s="26" t="s">
        <v>53</v>
      </c>
      <c r="C1539" s="14" t="s">
        <v>709</v>
      </c>
      <c r="D1539" s="14">
        <v>480</v>
      </c>
      <c r="E1539" s="16">
        <f>6.5</f>
        <v>6.5</v>
      </c>
    </row>
    <row r="1540" spans="1:5" ht="17">
      <c r="A1540" s="1" t="s">
        <v>68</v>
      </c>
      <c r="B1540" s="26" t="s">
        <v>19</v>
      </c>
      <c r="C1540" s="14" t="s">
        <v>709</v>
      </c>
      <c r="D1540" s="14">
        <v>500</v>
      </c>
      <c r="E1540" s="16">
        <f>5.882-0.32-0.328-0.64-1.708</f>
        <v>2.8859999999999992</v>
      </c>
    </row>
    <row r="1541" spans="1:5" ht="17">
      <c r="A1541" s="1" t="s">
        <v>68</v>
      </c>
      <c r="B1541" s="26" t="s">
        <v>53</v>
      </c>
      <c r="C1541" s="14" t="s">
        <v>709</v>
      </c>
      <c r="D1541" s="14">
        <v>520</v>
      </c>
      <c r="E1541" s="16">
        <f>3.758-0.114-0.28-0.205</f>
        <v>3.1589999999999998</v>
      </c>
    </row>
    <row r="1542" spans="1:5" ht="17">
      <c r="A1542" s="1" t="s">
        <v>68</v>
      </c>
      <c r="B1542" s="26" t="s">
        <v>53</v>
      </c>
      <c r="C1542" s="14" t="s">
        <v>709</v>
      </c>
      <c r="D1542" s="14">
        <v>550</v>
      </c>
      <c r="E1542" s="16">
        <f>6.162</f>
        <v>6.1619999999999999</v>
      </c>
    </row>
    <row r="1543" spans="1:5" ht="17">
      <c r="A1543" s="1" t="s">
        <v>68</v>
      </c>
      <c r="B1543" s="26" t="s">
        <v>19</v>
      </c>
      <c r="C1543" s="26" t="s">
        <v>728</v>
      </c>
      <c r="D1543" s="14" t="s">
        <v>983</v>
      </c>
      <c r="E1543" s="16">
        <f>2.048-0.509-0.02-0.204-0.292-0.021-0.022-0.021-0.02-0.2-0.021-0.023-0.019-0.038-0.188-0.372</f>
        <v>7.8000000000000014E-2</v>
      </c>
    </row>
    <row r="1544" spans="1:5" ht="17">
      <c r="A1544" s="1" t="s">
        <v>68</v>
      </c>
      <c r="B1544" s="26" t="s">
        <v>19</v>
      </c>
      <c r="C1544" s="26" t="s">
        <v>728</v>
      </c>
      <c r="D1544" s="14" t="s">
        <v>983</v>
      </c>
      <c r="E1544" s="16">
        <f>1.148-0.024-0.021-0.025-0.022-0.022-0.119-0.04</f>
        <v>0.875</v>
      </c>
    </row>
    <row r="1545" spans="1:5" ht="17">
      <c r="A1545" s="1" t="s">
        <v>68</v>
      </c>
      <c r="B1545" s="26" t="s">
        <v>19</v>
      </c>
      <c r="C1545" s="26" t="s">
        <v>728</v>
      </c>
      <c r="D1545" s="14" t="s">
        <v>984</v>
      </c>
      <c r="E1545" s="16">
        <f>1.18-0.049-0.105-0.026-0.028-0.023-0.052-0.026-0.053-0.026</f>
        <v>0.79199999999999982</v>
      </c>
    </row>
    <row r="1546" spans="1:5" ht="17">
      <c r="A1546" s="1" t="s">
        <v>68</v>
      </c>
      <c r="B1546" s="26" t="s">
        <v>19</v>
      </c>
      <c r="C1546" s="26" t="s">
        <v>728</v>
      </c>
      <c r="D1546" s="14" t="s">
        <v>985</v>
      </c>
      <c r="E1546" s="16">
        <f>1.588-0.145-0.184-0.18-0.036-0.037-0.11-0.145-0.108</f>
        <v>0.64300000000000024</v>
      </c>
    </row>
    <row r="1547" spans="1:5" ht="17">
      <c r="A1547" s="1" t="s">
        <v>68</v>
      </c>
      <c r="B1547" s="26" t="s">
        <v>19</v>
      </c>
      <c r="C1547" s="26" t="s">
        <v>728</v>
      </c>
      <c r="D1547" s="14" t="s">
        <v>986</v>
      </c>
      <c r="E1547" s="16">
        <f>1.918-0.114-0.045-0.216-0.043-0.045-0.045-0.136-0.046-0.044-0.045-0.043-0.134</f>
        <v>0.96200000000000008</v>
      </c>
    </row>
    <row r="1548" spans="1:5" ht="17">
      <c r="A1548" s="1" t="s">
        <v>68</v>
      </c>
      <c r="B1548" s="26" t="s">
        <v>19</v>
      </c>
      <c r="C1548" s="26" t="s">
        <v>728</v>
      </c>
      <c r="D1548" s="14" t="s">
        <v>987</v>
      </c>
      <c r="E1548" s="16">
        <f>1.12-0.056</f>
        <v>1.0640000000000001</v>
      </c>
    </row>
    <row r="1549" spans="1:5" ht="17">
      <c r="A1549" s="1" t="s">
        <v>68</v>
      </c>
      <c r="B1549" s="26" t="s">
        <v>19</v>
      </c>
      <c r="C1549" s="26" t="s">
        <v>728</v>
      </c>
      <c r="D1549" s="14" t="s">
        <v>988</v>
      </c>
      <c r="E1549" s="16">
        <f>1.09-0.048-0.211-0.226-0.046-0.046</f>
        <v>0.51300000000000001</v>
      </c>
    </row>
    <row r="1550" spans="1:5" ht="17">
      <c r="A1550" s="1" t="s">
        <v>68</v>
      </c>
      <c r="B1550" s="26" t="s">
        <v>19</v>
      </c>
      <c r="C1550" s="26" t="s">
        <v>728</v>
      </c>
      <c r="D1550" s="14" t="s">
        <v>989</v>
      </c>
      <c r="E1550" s="16">
        <f>0.961</f>
        <v>0.96099999999999997</v>
      </c>
    </row>
    <row r="1551" spans="1:5" ht="17">
      <c r="A1551" s="1" t="s">
        <v>68</v>
      </c>
      <c r="B1551" s="26" t="s">
        <v>19</v>
      </c>
      <c r="C1551" s="26" t="s">
        <v>728</v>
      </c>
      <c r="D1551" s="14" t="s">
        <v>990</v>
      </c>
      <c r="E1551" s="16">
        <f>3.332-0.286-0.05-0.055-0.053-0.05-0.056-0.055-0.052-0.054-0.057-0.058-0.052-0.01-0.049-0.057</f>
        <v>2.3380000000000005</v>
      </c>
    </row>
    <row r="1552" spans="1:5" ht="17">
      <c r="A1552" s="1" t="s">
        <v>68</v>
      </c>
      <c r="B1552" s="26" t="s">
        <v>19</v>
      </c>
      <c r="C1552" s="26" t="s">
        <v>728</v>
      </c>
      <c r="D1552" s="14" t="s">
        <v>991</v>
      </c>
      <c r="E1552" s="16">
        <f>0.963-0.066-0.138-0.067</f>
        <v>0.69199999999999995</v>
      </c>
    </row>
    <row r="1553" spans="1:5" ht="17">
      <c r="A1553" s="1" t="s">
        <v>68</v>
      </c>
      <c r="B1553" s="26" t="s">
        <v>19</v>
      </c>
      <c r="C1553" s="26" t="s">
        <v>728</v>
      </c>
      <c r="D1553" s="14" t="s">
        <v>992</v>
      </c>
      <c r="E1553" s="16">
        <f>3.214-0.09-0.276-0.076-0.086-0.185</f>
        <v>2.5009999999999999</v>
      </c>
    </row>
    <row r="1554" spans="1:5" ht="17">
      <c r="A1554" s="1" t="s">
        <v>68</v>
      </c>
      <c r="B1554" s="26" t="s">
        <v>19</v>
      </c>
      <c r="C1554" s="26" t="s">
        <v>728</v>
      </c>
      <c r="D1554" s="14" t="s">
        <v>993</v>
      </c>
      <c r="E1554" s="16">
        <f>0.972-0.295</f>
        <v>0.67700000000000005</v>
      </c>
    </row>
    <row r="1555" spans="1:5" ht="17">
      <c r="A1555" s="1" t="s">
        <v>68</v>
      </c>
      <c r="B1555" s="26" t="s">
        <v>19</v>
      </c>
      <c r="C1555" s="26" t="s">
        <v>728</v>
      </c>
      <c r="D1555" s="14" t="s">
        <v>994</v>
      </c>
      <c r="E1555" s="16">
        <f>1.782-0.109-0.105-0.1-0.101-0.21-0.28-0.108-0.048-0.106-0.102-0.103</f>
        <v>0.41000000000000003</v>
      </c>
    </row>
    <row r="1556" spans="1:5" ht="17">
      <c r="A1556" s="1" t="s">
        <v>68</v>
      </c>
      <c r="B1556" s="26" t="s">
        <v>19</v>
      </c>
      <c r="C1556" s="26" t="s">
        <v>728</v>
      </c>
      <c r="D1556" s="14" t="s">
        <v>685</v>
      </c>
      <c r="E1556" s="16">
        <f>0.367-0.04</f>
        <v>0.32700000000000001</v>
      </c>
    </row>
    <row r="1557" spans="1:5" ht="17">
      <c r="A1557" s="1" t="s">
        <v>68</v>
      </c>
      <c r="B1557" s="26" t="s">
        <v>19</v>
      </c>
      <c r="C1557" s="26" t="s">
        <v>728</v>
      </c>
      <c r="D1557" s="14" t="s">
        <v>685</v>
      </c>
      <c r="E1557" s="16">
        <f>1.441</f>
        <v>1.4410000000000001</v>
      </c>
    </row>
    <row r="1558" spans="1:5" ht="17">
      <c r="A1558" s="1" t="s">
        <v>68</v>
      </c>
      <c r="B1558" s="26" t="s">
        <v>19</v>
      </c>
      <c r="C1558" s="26" t="s">
        <v>728</v>
      </c>
      <c r="D1558" s="14" t="s">
        <v>995</v>
      </c>
      <c r="E1558" s="16">
        <f>0.023</f>
        <v>2.3E-2</v>
      </c>
    </row>
    <row r="1559" spans="1:5" ht="17">
      <c r="A1559" s="1" t="s">
        <v>68</v>
      </c>
      <c r="B1559" s="26" t="s">
        <v>19</v>
      </c>
      <c r="C1559" s="26" t="s">
        <v>728</v>
      </c>
      <c r="D1559" s="14" t="s">
        <v>687</v>
      </c>
      <c r="E1559" s="16">
        <f>1.922-0.428-0.024-0.234-0.016-0.1-0.332-0.2-0.042-0.014-0.124-0.016</f>
        <v>0.39199999999999979</v>
      </c>
    </row>
    <row r="1560" spans="1:5" ht="17">
      <c r="A1560" s="1" t="s">
        <v>68</v>
      </c>
      <c r="B1560" s="26" t="s">
        <v>19</v>
      </c>
      <c r="C1560" s="26" t="s">
        <v>728</v>
      </c>
      <c r="D1560" s="14" t="s">
        <v>687</v>
      </c>
      <c r="E1560" s="16">
        <f>2.258-0.85-0.166-1.07</f>
        <v>0.17199999999999993</v>
      </c>
    </row>
    <row r="1561" spans="1:5" ht="17">
      <c r="A1561" s="1" t="s">
        <v>68</v>
      </c>
      <c r="B1561" s="26" t="s">
        <v>19</v>
      </c>
      <c r="C1561" s="26" t="s">
        <v>728</v>
      </c>
      <c r="D1561" s="14" t="s">
        <v>687</v>
      </c>
      <c r="E1561" s="16">
        <f>1.088-0.066-0.172-0.8</f>
        <v>5.0000000000000044E-2</v>
      </c>
    </row>
    <row r="1562" spans="1:5" ht="17">
      <c r="A1562" s="1" t="s">
        <v>68</v>
      </c>
      <c r="B1562" s="26" t="s">
        <v>19</v>
      </c>
      <c r="C1562" s="26" t="s">
        <v>728</v>
      </c>
      <c r="D1562" s="14" t="s">
        <v>687</v>
      </c>
      <c r="E1562" s="16">
        <f>1.134-0.182-0.056</f>
        <v>0.89599999999999991</v>
      </c>
    </row>
    <row r="1563" spans="1:5" ht="17">
      <c r="A1563" s="1" t="s">
        <v>68</v>
      </c>
      <c r="B1563" s="26" t="s">
        <v>19</v>
      </c>
      <c r="C1563" s="26" t="s">
        <v>728</v>
      </c>
      <c r="D1563" s="14" t="s">
        <v>687</v>
      </c>
      <c r="E1563" s="16">
        <f>2.321-0.53</f>
        <v>1.7910000000000001</v>
      </c>
    </row>
    <row r="1564" spans="1:5" ht="17">
      <c r="A1564" s="1" t="s">
        <v>68</v>
      </c>
      <c r="B1564" s="26" t="s">
        <v>19</v>
      </c>
      <c r="C1564" s="26" t="s">
        <v>728</v>
      </c>
      <c r="D1564" s="14" t="s">
        <v>687</v>
      </c>
      <c r="E1564" s="16">
        <f>1.69-0.176</f>
        <v>1.514</v>
      </c>
    </row>
    <row r="1565" spans="1:5" ht="17">
      <c r="A1565" s="1" t="s">
        <v>68</v>
      </c>
      <c r="B1565" s="23" t="s">
        <v>19</v>
      </c>
      <c r="C1565" s="23" t="s">
        <v>728</v>
      </c>
      <c r="D1565" s="21" t="s">
        <v>691</v>
      </c>
      <c r="E1565" s="16">
        <f>2.363-1.019-0.332-0.034-0.018-0.048-0.168-0.138-0.024-0.016-0.11-0.012-0.003-(0.002)-0.046</f>
        <v>0.39299999999999985</v>
      </c>
    </row>
    <row r="1566" spans="1:5" ht="17">
      <c r="A1566" s="1" t="s">
        <v>68</v>
      </c>
      <c r="B1566" s="23" t="s">
        <v>19</v>
      </c>
      <c r="C1566" s="23" t="s">
        <v>728</v>
      </c>
      <c r="D1566" s="21" t="s">
        <v>691</v>
      </c>
      <c r="E1566" s="16">
        <f>0.68</f>
        <v>0.68</v>
      </c>
    </row>
    <row r="1567" spans="1:5" ht="17">
      <c r="A1567" s="1" t="s">
        <v>68</v>
      </c>
      <c r="B1567" s="26" t="s">
        <v>19</v>
      </c>
      <c r="C1567" s="26" t="s">
        <v>728</v>
      </c>
      <c r="D1567" s="14" t="s">
        <v>691</v>
      </c>
      <c r="E1567" s="16">
        <f>1.097-0.184-0.078</f>
        <v>0.83500000000000008</v>
      </c>
    </row>
    <row r="1568" spans="1:5" ht="17">
      <c r="A1568" s="1" t="s">
        <v>68</v>
      </c>
      <c r="B1568" s="26" t="s">
        <v>19</v>
      </c>
      <c r="C1568" s="26" t="s">
        <v>728</v>
      </c>
      <c r="D1568" s="14" t="s">
        <v>691</v>
      </c>
      <c r="E1568" s="16">
        <f>1.366</f>
        <v>1.3660000000000001</v>
      </c>
    </row>
    <row r="1569" spans="1:5" ht="17">
      <c r="A1569" s="1" t="s">
        <v>68</v>
      </c>
      <c r="B1569" s="23" t="s">
        <v>19</v>
      </c>
      <c r="C1569" s="23" t="s">
        <v>728</v>
      </c>
      <c r="D1569" s="21" t="s">
        <v>850</v>
      </c>
      <c r="E1569" s="16">
        <f>2.156-0.015-0.054-0.074-0.025-0.074-0.202-0.184-0.03-0.08-0.238-0.096-0.11-0.058-0.357-0.073-0.058-0.03</f>
        <v>0.39800000000000024</v>
      </c>
    </row>
    <row r="1570" spans="1:5" ht="17">
      <c r="A1570" s="1" t="s">
        <v>68</v>
      </c>
      <c r="B1570" s="26" t="s">
        <v>19</v>
      </c>
      <c r="C1570" s="26" t="s">
        <v>728</v>
      </c>
      <c r="D1570" s="14" t="s">
        <v>850</v>
      </c>
      <c r="E1570" s="16">
        <f>1.11-0.334-0.228</f>
        <v>0.54800000000000004</v>
      </c>
    </row>
    <row r="1571" spans="1:5" ht="17">
      <c r="A1571" s="1" t="s">
        <v>68</v>
      </c>
      <c r="B1571" s="23" t="s">
        <v>19</v>
      </c>
      <c r="C1571" s="23" t="s">
        <v>728</v>
      </c>
      <c r="D1571" s="21" t="s">
        <v>843</v>
      </c>
      <c r="E1571" s="16">
        <f>1.634-0.54-0.498-0.128-0.088-0.014-0.024-0.09-0.082-0.096</f>
        <v>7.3999999999999871E-2</v>
      </c>
    </row>
    <row r="1572" spans="1:5" ht="17">
      <c r="A1572" s="1" t="s">
        <v>68</v>
      </c>
      <c r="B1572" s="26" t="s">
        <v>19</v>
      </c>
      <c r="C1572" s="26" t="s">
        <v>728</v>
      </c>
      <c r="D1572" s="14" t="s">
        <v>843</v>
      </c>
      <c r="E1572" s="16">
        <f>3.377-0.274-0.146-0.05-0.358-0.532-0.038-0.131</f>
        <v>1.8479999999999999</v>
      </c>
    </row>
    <row r="1573" spans="1:5" ht="17">
      <c r="A1573" s="1" t="s">
        <v>68</v>
      </c>
      <c r="B1573" s="26" t="s">
        <v>19</v>
      </c>
      <c r="C1573" s="26" t="s">
        <v>728</v>
      </c>
      <c r="D1573" s="14" t="s">
        <v>996</v>
      </c>
      <c r="E1573" s="16">
        <v>2.8000000000000001E-2</v>
      </c>
    </row>
    <row r="1574" spans="1:5" ht="17">
      <c r="A1574" s="1" t="s">
        <v>68</v>
      </c>
      <c r="B1574" s="26" t="s">
        <v>19</v>
      </c>
      <c r="C1574" s="26" t="s">
        <v>728</v>
      </c>
      <c r="D1574" s="14" t="s">
        <v>769</v>
      </c>
      <c r="E1574" s="16">
        <f>3.236-0.154-0.152-0.306-0.198-0.228-0.26-0.152-0.3-0.038-0.034-0.44</f>
        <v>0.97399999999999998</v>
      </c>
    </row>
    <row r="1575" spans="1:5" ht="17">
      <c r="A1575" s="1" t="s">
        <v>68</v>
      </c>
      <c r="B1575" s="26" t="s">
        <v>19</v>
      </c>
      <c r="C1575" s="26" t="s">
        <v>728</v>
      </c>
      <c r="D1575" s="14" t="s">
        <v>769</v>
      </c>
      <c r="E1575" s="16">
        <f>6.09-0.408-0.212-0.096-0.664-0.304-0.19-0.1-0.647-1.29</f>
        <v>2.1789999999999994</v>
      </c>
    </row>
    <row r="1576" spans="1:5" ht="17">
      <c r="A1576" s="1" t="s">
        <v>68</v>
      </c>
      <c r="B1576" s="26" t="s">
        <v>19</v>
      </c>
      <c r="C1576" s="26" t="s">
        <v>728</v>
      </c>
      <c r="D1576" s="14" t="s">
        <v>769</v>
      </c>
      <c r="E1576" s="16">
        <f>6.225-2.779-2.059-0.196-0.488</f>
        <v>0.70299999999999963</v>
      </c>
    </row>
    <row r="1577" spans="1:5" ht="17">
      <c r="A1577" s="1" t="s">
        <v>68</v>
      </c>
      <c r="B1577" s="26" t="s">
        <v>19</v>
      </c>
      <c r="C1577" s="26" t="s">
        <v>728</v>
      </c>
      <c r="D1577" s="14" t="s">
        <v>769</v>
      </c>
      <c r="E1577" s="16">
        <f>2.014</f>
        <v>2.0139999999999998</v>
      </c>
    </row>
    <row r="1578" spans="1:5" ht="30">
      <c r="A1578" s="1" t="s">
        <v>68</v>
      </c>
      <c r="B1578" s="26" t="s">
        <v>19</v>
      </c>
      <c r="C1578" s="26" t="s">
        <v>728</v>
      </c>
      <c r="D1578" s="14" t="s">
        <v>997</v>
      </c>
      <c r="E1578" s="16">
        <f>0.152</f>
        <v>0.152</v>
      </c>
    </row>
    <row r="1579" spans="1:5" ht="17">
      <c r="A1579" s="1" t="s">
        <v>68</v>
      </c>
      <c r="B1579" s="23" t="s">
        <v>19</v>
      </c>
      <c r="C1579" s="23" t="s">
        <v>728</v>
      </c>
      <c r="D1579" s="21" t="s">
        <v>760</v>
      </c>
      <c r="E1579" s="16">
        <f>2.711-0.304-0.298-0.396-0.15-0.376-0.198-0.172-0.066-0.51</f>
        <v>0.24100000000000033</v>
      </c>
    </row>
    <row r="1580" spans="1:5" ht="17">
      <c r="A1580" s="1" t="s">
        <v>68</v>
      </c>
      <c r="B1580" s="23" t="s">
        <v>19</v>
      </c>
      <c r="C1580" s="23" t="s">
        <v>728</v>
      </c>
      <c r="D1580" s="21" t="s">
        <v>760</v>
      </c>
      <c r="E1580" s="16">
        <f>5.252-0.164-0.05-0.064-0.138-0.334-0.1-0.678-0.394-0.162-0.05-0.062-0.294-0.93-0.846-0.25-0.306</f>
        <v>0.43000000000000121</v>
      </c>
    </row>
    <row r="1581" spans="1:5" ht="17">
      <c r="A1581" s="1" t="s">
        <v>68</v>
      </c>
      <c r="B1581" s="23" t="s">
        <v>19</v>
      </c>
      <c r="C1581" s="23" t="s">
        <v>728</v>
      </c>
      <c r="D1581" s="21" t="s">
        <v>760</v>
      </c>
      <c r="E1581" s="16">
        <f>9.697-2.721-0.644-0.734-0.156-0.994-0.164-0.2-0.596-0.298-0.582-0.572-0.294-0.4-0.246</f>
        <v>1.0959999999999996</v>
      </c>
    </row>
    <row r="1582" spans="1:5" ht="17">
      <c r="A1582" s="1" t="s">
        <v>68</v>
      </c>
      <c r="B1582" s="23" t="s">
        <v>19</v>
      </c>
      <c r="C1582" s="23" t="s">
        <v>728</v>
      </c>
      <c r="D1582" s="21" t="s">
        <v>998</v>
      </c>
      <c r="E1582" s="16">
        <f>0.298-0.1</f>
        <v>0.19799999999999998</v>
      </c>
    </row>
    <row r="1583" spans="1:5" ht="17">
      <c r="A1583" s="1" t="s">
        <v>68</v>
      </c>
      <c r="B1583" s="26" t="s">
        <v>19</v>
      </c>
      <c r="C1583" s="26" t="s">
        <v>728</v>
      </c>
      <c r="D1583" s="14" t="s">
        <v>760</v>
      </c>
      <c r="E1583" s="16">
        <f>3.33-2.578</f>
        <v>0.75200000000000022</v>
      </c>
    </row>
    <row r="1584" spans="1:5" ht="17">
      <c r="A1584" s="1" t="s">
        <v>68</v>
      </c>
      <c r="B1584" s="26" t="s">
        <v>19</v>
      </c>
      <c r="C1584" s="26" t="s">
        <v>728</v>
      </c>
      <c r="D1584" s="14" t="s">
        <v>999</v>
      </c>
      <c r="E1584" s="16">
        <f>1.702-0.154-0.056-0.088-0.712</f>
        <v>0.69199999999999995</v>
      </c>
    </row>
    <row r="1585" spans="1:5" ht="17">
      <c r="A1585" s="1" t="s">
        <v>68</v>
      </c>
      <c r="B1585" s="26" t="s">
        <v>19</v>
      </c>
      <c r="C1585" s="26" t="s">
        <v>728</v>
      </c>
      <c r="D1585" s="14" t="s">
        <v>836</v>
      </c>
      <c r="E1585" s="16">
        <f>1.391-0.222-0.855-0.146-0.048</f>
        <v>0.12000000000000006</v>
      </c>
    </row>
    <row r="1586" spans="1:5" ht="17">
      <c r="A1586" s="1" t="s">
        <v>68</v>
      </c>
      <c r="B1586" s="23" t="s">
        <v>19</v>
      </c>
      <c r="C1586" s="26" t="s">
        <v>709</v>
      </c>
      <c r="D1586" s="21" t="s">
        <v>1000</v>
      </c>
      <c r="E1586" s="16">
        <f>2.352-0.802-0.244-0.594-0.356-0.21-(0.038)</f>
        <v>0.10799999999999987</v>
      </c>
    </row>
    <row r="1587" spans="1:5" ht="17">
      <c r="A1587" s="1" t="s">
        <v>68</v>
      </c>
      <c r="B1587" s="23" t="s">
        <v>19</v>
      </c>
      <c r="C1587" s="26" t="s">
        <v>709</v>
      </c>
      <c r="D1587" s="21" t="s">
        <v>749</v>
      </c>
      <c r="E1587" s="16">
        <f>5.44-0.8-0.33-0.426-0.106-0.984-0.4-0.118-0.108-0.406-0.044-0.044-0.286-0.186-0.054-0.8</f>
        <v>0.34800000000000031</v>
      </c>
    </row>
    <row r="1588" spans="1:5" ht="17">
      <c r="A1588" s="1" t="s">
        <v>68</v>
      </c>
      <c r="B1588" s="23" t="s">
        <v>19</v>
      </c>
      <c r="C1588" s="26" t="s">
        <v>709</v>
      </c>
      <c r="D1588" s="21" t="s">
        <v>749</v>
      </c>
      <c r="E1588" s="16">
        <f>12.248-2.864-1.052-0.588-0.426-0.782-0.312-0.156-0.546-0.342-0.392</f>
        <v>4.7880000000000003</v>
      </c>
    </row>
    <row r="1589" spans="1:5" ht="17">
      <c r="A1589" s="1" t="s">
        <v>68</v>
      </c>
      <c r="B1589" s="26" t="s">
        <v>19</v>
      </c>
      <c r="C1589" s="26" t="s">
        <v>728</v>
      </c>
      <c r="D1589" s="14" t="s">
        <v>749</v>
      </c>
      <c r="E1589" s="16">
        <f>1.751-1.024</f>
        <v>0.72699999999999987</v>
      </c>
    </row>
    <row r="1590" spans="1:5" ht="17">
      <c r="A1590" s="1" t="s">
        <v>68</v>
      </c>
      <c r="B1590" s="26" t="s">
        <v>19</v>
      </c>
      <c r="C1590" s="26" t="s">
        <v>709</v>
      </c>
      <c r="D1590" s="14" t="s">
        <v>834</v>
      </c>
      <c r="E1590" s="16">
        <f>2.368</f>
        <v>2.3679999999999999</v>
      </c>
    </row>
    <row r="1591" spans="1:5" ht="17">
      <c r="A1591" s="1" t="s">
        <v>68</v>
      </c>
      <c r="B1591" s="26" t="s">
        <v>19</v>
      </c>
      <c r="C1591" s="26" t="s">
        <v>709</v>
      </c>
      <c r="D1591" s="14" t="s">
        <v>740</v>
      </c>
      <c r="E1591" s="16">
        <f>0.978-0.06-0.082-0.02-0.404-0.116-0.096</f>
        <v>0.19999999999999993</v>
      </c>
    </row>
    <row r="1592" spans="1:5" ht="17">
      <c r="A1592" s="1" t="s">
        <v>68</v>
      </c>
      <c r="B1592" s="23" t="s">
        <v>19</v>
      </c>
      <c r="C1592" s="23" t="s">
        <v>709</v>
      </c>
      <c r="D1592" s="21" t="s">
        <v>740</v>
      </c>
      <c r="E1592" s="16">
        <f>6.05-0.958-0.61-0.402-0.678-0.99-0.462-0.56-0.41-0.31-0.026-0.038</f>
        <v>0.60599999999999898</v>
      </c>
    </row>
    <row r="1593" spans="1:5" ht="17">
      <c r="A1593" s="1" t="s">
        <v>68</v>
      </c>
      <c r="B1593" s="26" t="s">
        <v>19</v>
      </c>
      <c r="C1593" s="26" t="s">
        <v>728</v>
      </c>
      <c r="D1593" s="14" t="s">
        <v>740</v>
      </c>
      <c r="E1593" s="16">
        <f>3.142-0.915</f>
        <v>2.2269999999999999</v>
      </c>
    </row>
    <row r="1594" spans="1:5" ht="17">
      <c r="A1594" s="1" t="s">
        <v>68</v>
      </c>
      <c r="B1594" s="26" t="s">
        <v>19</v>
      </c>
      <c r="C1594" s="26" t="s">
        <v>709</v>
      </c>
      <c r="D1594" s="14" t="s">
        <v>740</v>
      </c>
      <c r="E1594" s="16">
        <f>2.466</f>
        <v>2.4660000000000002</v>
      </c>
    </row>
    <row r="1595" spans="1:5" ht="17">
      <c r="A1595" s="1" t="s">
        <v>68</v>
      </c>
      <c r="B1595" s="26" t="s">
        <v>19</v>
      </c>
      <c r="C1595" s="26" t="s">
        <v>709</v>
      </c>
      <c r="D1595" s="14" t="s">
        <v>828</v>
      </c>
      <c r="E1595" s="16">
        <f>3.884-1.35-0.28-1.332</f>
        <v>0.92199999999999949</v>
      </c>
    </row>
    <row r="1596" spans="1:5" ht="17">
      <c r="A1596" s="1" t="s">
        <v>68</v>
      </c>
      <c r="B1596" s="26" t="s">
        <v>19</v>
      </c>
      <c r="C1596" s="26" t="s">
        <v>709</v>
      </c>
      <c r="D1596" s="14" t="s">
        <v>702</v>
      </c>
      <c r="E1596" s="16">
        <f>1.228-0.108-0.216-0.52-0.11</f>
        <v>0.27399999999999991</v>
      </c>
    </row>
    <row r="1597" spans="1:5" ht="17">
      <c r="A1597" s="1" t="s">
        <v>68</v>
      </c>
      <c r="B1597" s="26" t="s">
        <v>19</v>
      </c>
      <c r="C1597" s="26" t="s">
        <v>709</v>
      </c>
      <c r="D1597" s="14" t="s">
        <v>702</v>
      </c>
      <c r="E1597" s="16">
        <f>2.546-0.75</f>
        <v>1.7959999999999998</v>
      </c>
    </row>
    <row r="1598" spans="1:5" ht="17">
      <c r="A1598" s="1" t="s">
        <v>68</v>
      </c>
      <c r="B1598" s="26" t="s">
        <v>19</v>
      </c>
      <c r="C1598" s="26" t="s">
        <v>709</v>
      </c>
      <c r="D1598" s="14" t="s">
        <v>702</v>
      </c>
      <c r="E1598" s="16">
        <f>5.062-2.696</f>
        <v>2.3660000000000001</v>
      </c>
    </row>
    <row r="1599" spans="1:5" ht="17">
      <c r="A1599" s="1" t="s">
        <v>68</v>
      </c>
      <c r="B1599" s="26" t="s">
        <v>19</v>
      </c>
      <c r="C1599" s="26" t="s">
        <v>709</v>
      </c>
      <c r="D1599" s="14" t="s">
        <v>926</v>
      </c>
      <c r="E1599" s="16">
        <f>2.655-1.323-0.354-0.14-0.104</f>
        <v>0.73399999999999987</v>
      </c>
    </row>
    <row r="1600" spans="1:5" ht="17">
      <c r="A1600" s="1" t="s">
        <v>68</v>
      </c>
      <c r="B1600" s="26" t="s">
        <v>19</v>
      </c>
      <c r="C1600" s="26" t="s">
        <v>709</v>
      </c>
      <c r="D1600" s="14" t="s">
        <v>926</v>
      </c>
      <c r="E1600" s="16">
        <f>2.546</f>
        <v>2.5459999999999998</v>
      </c>
    </row>
    <row r="1601" spans="1:5" ht="17">
      <c r="A1601" s="1" t="s">
        <v>68</v>
      </c>
      <c r="B1601" s="26" t="s">
        <v>19</v>
      </c>
      <c r="C1601" s="26" t="s">
        <v>709</v>
      </c>
      <c r="D1601" s="14" t="s">
        <v>1001</v>
      </c>
      <c r="E1601" s="16">
        <f>0.062</f>
        <v>6.2E-2</v>
      </c>
    </row>
    <row r="1602" spans="1:5" ht="17">
      <c r="A1602" s="1" t="s">
        <v>68</v>
      </c>
      <c r="B1602" s="26" t="s">
        <v>19</v>
      </c>
      <c r="C1602" s="26" t="s">
        <v>709</v>
      </c>
      <c r="D1602" s="14" t="s">
        <v>703</v>
      </c>
      <c r="E1602" s="16">
        <f>3.104-0.184-0.404-0.39-0.338-0.094-0.474-0.4-0.396-0.108</f>
        <v>0.31599999999999973</v>
      </c>
    </row>
    <row r="1603" spans="1:5" ht="17">
      <c r="A1603" s="1" t="s">
        <v>68</v>
      </c>
      <c r="B1603" s="26" t="s">
        <v>19</v>
      </c>
      <c r="C1603" s="26" t="s">
        <v>709</v>
      </c>
      <c r="D1603" s="14" t="s">
        <v>703</v>
      </c>
      <c r="E1603" s="16">
        <f>3.574-0.21</f>
        <v>3.3639999999999999</v>
      </c>
    </row>
    <row r="1604" spans="1:5" ht="17">
      <c r="A1604" s="1" t="s">
        <v>68</v>
      </c>
      <c r="B1604" s="26" t="s">
        <v>19</v>
      </c>
      <c r="C1604" s="26" t="s">
        <v>709</v>
      </c>
      <c r="D1604" s="14" t="s">
        <v>1002</v>
      </c>
      <c r="E1604" s="16">
        <f>2.856-0.92-(0.022)-0.99-0.852-(0.06)</f>
        <v>1.1999999999999955E-2</v>
      </c>
    </row>
    <row r="1605" spans="1:5" ht="17">
      <c r="A1605" s="1" t="s">
        <v>68</v>
      </c>
      <c r="B1605" s="26" t="s">
        <v>19</v>
      </c>
      <c r="C1605" s="26" t="s">
        <v>709</v>
      </c>
      <c r="D1605" s="14" t="s">
        <v>704</v>
      </c>
      <c r="E1605" s="16">
        <f>1.772-0.098-0.062-0.082-0.206-0.122-0.4</f>
        <v>0.80199999999999994</v>
      </c>
    </row>
    <row r="1606" spans="1:5" ht="17">
      <c r="A1606" s="1" t="s">
        <v>68</v>
      </c>
      <c r="B1606" s="26" t="s">
        <v>19</v>
      </c>
      <c r="C1606" s="26" t="s">
        <v>709</v>
      </c>
      <c r="D1606" s="14" t="s">
        <v>1003</v>
      </c>
      <c r="E1606" s="16">
        <f>0.062</f>
        <v>6.2E-2</v>
      </c>
    </row>
    <row r="1607" spans="1:5" ht="17">
      <c r="A1607" s="1" t="s">
        <v>68</v>
      </c>
      <c r="B1607" s="26" t="s">
        <v>19</v>
      </c>
      <c r="C1607" s="26" t="s">
        <v>709</v>
      </c>
      <c r="D1607" s="14" t="s">
        <v>704</v>
      </c>
      <c r="E1607" s="16">
        <f>3.403</f>
        <v>3.403</v>
      </c>
    </row>
    <row r="1608" spans="1:5" ht="17">
      <c r="A1608" s="1" t="s">
        <v>68</v>
      </c>
      <c r="B1608" s="26" t="s">
        <v>19</v>
      </c>
      <c r="C1608" s="26" t="s">
        <v>728</v>
      </c>
      <c r="D1608" s="14" t="s">
        <v>1004</v>
      </c>
      <c r="E1608" s="16">
        <f>0.92-0.815-0.02-0.012-0.018</f>
        <v>5.500000000000009E-2</v>
      </c>
    </row>
    <row r="1609" spans="1:5" ht="17">
      <c r="A1609" s="1" t="s">
        <v>68</v>
      </c>
      <c r="B1609" s="26" t="s">
        <v>19</v>
      </c>
      <c r="C1609" s="26" t="s">
        <v>728</v>
      </c>
      <c r="D1609" s="14" t="s">
        <v>706</v>
      </c>
      <c r="E1609" s="16">
        <f>1.746-0.626-0.202-0.109-0.3-0.075</f>
        <v>0.43400000000000011</v>
      </c>
    </row>
    <row r="1610" spans="1:5" ht="17">
      <c r="A1610" s="1" t="s">
        <v>68</v>
      </c>
      <c r="B1610" s="26" t="s">
        <v>19</v>
      </c>
      <c r="C1610" s="26" t="s">
        <v>709</v>
      </c>
      <c r="D1610" s="14" t="s">
        <v>706</v>
      </c>
      <c r="E1610" s="16">
        <f>1.7-0.089-0.11-0.084-0.69</f>
        <v>0.72699999999999987</v>
      </c>
    </row>
    <row r="1611" spans="1:5" ht="17">
      <c r="A1611" s="1" t="s">
        <v>68</v>
      </c>
      <c r="B1611" s="26" t="s">
        <v>19</v>
      </c>
      <c r="C1611" s="26" t="s">
        <v>709</v>
      </c>
      <c r="D1611" s="14" t="s">
        <v>706</v>
      </c>
      <c r="E1611" s="16">
        <f>2.05</f>
        <v>2.0499999999999998</v>
      </c>
    </row>
    <row r="1612" spans="1:5" ht="17">
      <c r="A1612" s="1" t="s">
        <v>68</v>
      </c>
      <c r="B1612" s="26" t="s">
        <v>19</v>
      </c>
      <c r="C1612" s="26" t="s">
        <v>709</v>
      </c>
      <c r="D1612" s="14" t="s">
        <v>931</v>
      </c>
      <c r="E1612" s="16">
        <f>1.71-1.266</f>
        <v>0.44399999999999995</v>
      </c>
    </row>
    <row r="1613" spans="1:5" ht="17">
      <c r="A1613" s="1" t="s">
        <v>68</v>
      </c>
      <c r="B1613" s="26" t="s">
        <v>19</v>
      </c>
      <c r="C1613" s="26" t="s">
        <v>709</v>
      </c>
      <c r="D1613" s="14" t="s">
        <v>931</v>
      </c>
      <c r="E1613" s="16">
        <f>1.97-0.227-0.516</f>
        <v>1.2269999999999999</v>
      </c>
    </row>
    <row r="1614" spans="1:5" ht="17">
      <c r="A1614" s="1" t="s">
        <v>68</v>
      </c>
      <c r="B1614" s="26" t="s">
        <v>19</v>
      </c>
      <c r="C1614" s="26" t="s">
        <v>728</v>
      </c>
      <c r="D1614" s="14" t="s">
        <v>707</v>
      </c>
      <c r="E1614" s="16">
        <f>2.42-(0.006)-0.25-0.356-0.386-0.5-0.502</f>
        <v>0.42000000000000015</v>
      </c>
    </row>
    <row r="1615" spans="1:5" ht="17">
      <c r="A1615" s="1" t="s">
        <v>68</v>
      </c>
      <c r="B1615" s="26" t="s">
        <v>19</v>
      </c>
      <c r="C1615" s="26" t="s">
        <v>709</v>
      </c>
      <c r="D1615" s="14" t="s">
        <v>707</v>
      </c>
      <c r="E1615" s="16">
        <f>2.016</f>
        <v>2.016</v>
      </c>
    </row>
    <row r="1616" spans="1:5" ht="17">
      <c r="A1616" s="1" t="s">
        <v>68</v>
      </c>
      <c r="B1616" s="26" t="s">
        <v>19</v>
      </c>
      <c r="C1616" s="26" t="s">
        <v>709</v>
      </c>
      <c r="D1616" s="14" t="s">
        <v>707</v>
      </c>
      <c r="E1616" s="16">
        <f>2.478</f>
        <v>2.4780000000000002</v>
      </c>
    </row>
    <row r="1617" spans="1:5" ht="17">
      <c r="A1617" s="1" t="s">
        <v>68</v>
      </c>
      <c r="B1617" s="26" t="s">
        <v>19</v>
      </c>
      <c r="C1617" s="26" t="s">
        <v>709</v>
      </c>
      <c r="D1617" s="14" t="s">
        <v>711</v>
      </c>
      <c r="E1617" s="16">
        <f>3.33-0.372</f>
        <v>2.9580000000000002</v>
      </c>
    </row>
    <row r="1618" spans="1:5" ht="17">
      <c r="A1618" s="1" t="s">
        <v>68</v>
      </c>
      <c r="B1618" s="26" t="s">
        <v>19</v>
      </c>
      <c r="C1618" s="26" t="s">
        <v>709</v>
      </c>
      <c r="D1618" s="14" t="s">
        <v>945</v>
      </c>
      <c r="E1618" s="16">
        <f>4.342-0.324</f>
        <v>4.0179999999999998</v>
      </c>
    </row>
    <row r="1619" spans="1:5" ht="17">
      <c r="A1619" s="1" t="s">
        <v>68</v>
      </c>
      <c r="B1619" s="26" t="s">
        <v>19</v>
      </c>
      <c r="C1619" s="26" t="s">
        <v>709</v>
      </c>
      <c r="D1619" s="14" t="s">
        <v>948</v>
      </c>
      <c r="E1619" s="16">
        <f>5.364-0.108-0.084-2.388-0.726-0.72-0.388</f>
        <v>0.95000000000000073</v>
      </c>
    </row>
    <row r="1620" spans="1:5" ht="17">
      <c r="A1620" s="1" t="s">
        <v>68</v>
      </c>
      <c r="B1620" s="26" t="s">
        <v>19</v>
      </c>
      <c r="C1620" s="26" t="s">
        <v>709</v>
      </c>
      <c r="D1620" s="14" t="s">
        <v>1005</v>
      </c>
      <c r="E1620" s="16">
        <f>0.72</f>
        <v>0.72</v>
      </c>
    </row>
    <row r="1621" spans="1:5" ht="17">
      <c r="A1621" s="1" t="s">
        <v>68</v>
      </c>
      <c r="B1621" s="26" t="s">
        <v>19</v>
      </c>
      <c r="C1621" s="26" t="s">
        <v>709</v>
      </c>
      <c r="D1621" s="14" t="s">
        <v>948</v>
      </c>
      <c r="E1621" s="16">
        <f>6.065-0.022</f>
        <v>6.0430000000000001</v>
      </c>
    </row>
    <row r="1622" spans="1:5" ht="17">
      <c r="A1622" s="1" t="s">
        <v>68</v>
      </c>
      <c r="B1622" s="26" t="s">
        <v>19</v>
      </c>
      <c r="C1622" s="26" t="s">
        <v>709</v>
      </c>
      <c r="D1622" s="14" t="s">
        <v>1006</v>
      </c>
      <c r="E1622" s="16">
        <f>2.488-0.322-1.28</f>
        <v>0.8859999999999999</v>
      </c>
    </row>
    <row r="1623" spans="1:5" ht="17">
      <c r="A1623" s="1" t="s">
        <v>68</v>
      </c>
      <c r="B1623" s="26" t="s">
        <v>19</v>
      </c>
      <c r="C1623" s="26" t="s">
        <v>709</v>
      </c>
      <c r="D1623" s="14" t="s">
        <v>1006</v>
      </c>
      <c r="E1623" s="16">
        <f>2.558</f>
        <v>2.5579999999999998</v>
      </c>
    </row>
    <row r="1624" spans="1:5" ht="17">
      <c r="A1624" s="1" t="s">
        <v>68</v>
      </c>
      <c r="B1624" s="26" t="s">
        <v>31</v>
      </c>
      <c r="C1624" s="14" t="s">
        <v>914</v>
      </c>
      <c r="D1624" s="14">
        <v>15</v>
      </c>
      <c r="E1624" s="15">
        <f>0.4-0.28-0.015</f>
        <v>0.105</v>
      </c>
    </row>
    <row r="1625" spans="1:5" ht="17">
      <c r="A1625" s="1" t="s">
        <v>68</v>
      </c>
      <c r="B1625" s="26" t="s">
        <v>31</v>
      </c>
      <c r="C1625" s="14" t="s">
        <v>914</v>
      </c>
      <c r="D1625" s="14">
        <v>40</v>
      </c>
      <c r="E1625" s="15">
        <f>0.112-0.072</f>
        <v>4.0000000000000008E-2</v>
      </c>
    </row>
    <row r="1626" spans="1:5" ht="17">
      <c r="A1626" s="1" t="s">
        <v>68</v>
      </c>
      <c r="B1626" s="26" t="s">
        <v>31</v>
      </c>
      <c r="C1626" s="14" t="s">
        <v>709</v>
      </c>
      <c r="D1626" s="14">
        <v>80</v>
      </c>
      <c r="E1626" s="16">
        <f>3.415</f>
        <v>3.415</v>
      </c>
    </row>
    <row r="1627" spans="1:5" ht="17">
      <c r="A1627" s="1" t="s">
        <v>68</v>
      </c>
      <c r="B1627" s="26" t="s">
        <v>31</v>
      </c>
      <c r="C1627" s="14" t="s">
        <v>914</v>
      </c>
      <c r="D1627" s="14">
        <v>100</v>
      </c>
      <c r="E1627" s="15">
        <f>0.215</f>
        <v>0.215</v>
      </c>
    </row>
    <row r="1628" spans="1:5" ht="17">
      <c r="A1628" s="1" t="s">
        <v>68</v>
      </c>
      <c r="B1628" s="26" t="s">
        <v>31</v>
      </c>
      <c r="C1628" s="14" t="s">
        <v>709</v>
      </c>
      <c r="D1628" s="14">
        <v>100</v>
      </c>
      <c r="E1628" s="16">
        <f>2.786-2.29-0.064</f>
        <v>0.432</v>
      </c>
    </row>
    <row r="1629" spans="1:5" ht="17">
      <c r="A1629" s="1" t="s">
        <v>68</v>
      </c>
      <c r="B1629" s="26" t="s">
        <v>31</v>
      </c>
      <c r="C1629" s="26" t="s">
        <v>709</v>
      </c>
      <c r="D1629" s="14">
        <v>220</v>
      </c>
      <c r="E1629" s="15">
        <f>8.924-5.173</f>
        <v>3.7509999999999994</v>
      </c>
    </row>
    <row r="1630" spans="1:5" ht="17">
      <c r="A1630" s="1" t="s">
        <v>68</v>
      </c>
      <c r="B1630" s="26" t="s">
        <v>31</v>
      </c>
      <c r="C1630" s="26" t="s">
        <v>709</v>
      </c>
      <c r="D1630" s="14">
        <v>300</v>
      </c>
      <c r="E1630" s="15">
        <f>4.828-3.198-0.338-0.077-0.4</f>
        <v>0.81500000000000028</v>
      </c>
    </row>
    <row r="1631" spans="1:5" ht="17">
      <c r="A1631" s="1" t="s">
        <v>68</v>
      </c>
      <c r="B1631" s="26" t="s">
        <v>31</v>
      </c>
      <c r="C1631" s="26" t="s">
        <v>709</v>
      </c>
      <c r="D1631" s="14" t="s">
        <v>1007</v>
      </c>
      <c r="E1631" s="15">
        <f>1.65-0.124-0.036-0.334</f>
        <v>1.1559999999999997</v>
      </c>
    </row>
    <row r="1632" spans="1:5" ht="17">
      <c r="A1632" s="1" t="s">
        <v>68</v>
      </c>
      <c r="B1632" s="14" t="s">
        <v>22</v>
      </c>
      <c r="C1632" s="14" t="s">
        <v>1008</v>
      </c>
      <c r="D1632" s="14" t="s">
        <v>1009</v>
      </c>
      <c r="E1632" s="16">
        <f>0.705</f>
        <v>0.70499999999999996</v>
      </c>
    </row>
    <row r="1633" spans="1:5" ht="17">
      <c r="A1633" s="1" t="s">
        <v>68</v>
      </c>
      <c r="B1633" s="14" t="s">
        <v>22</v>
      </c>
      <c r="C1633" s="14" t="s">
        <v>1008</v>
      </c>
      <c r="D1633" s="14" t="s">
        <v>1010</v>
      </c>
      <c r="E1633" s="16">
        <f>0.74</f>
        <v>0.74</v>
      </c>
    </row>
    <row r="1634" spans="1:5" ht="17">
      <c r="A1634" s="1" t="s">
        <v>68</v>
      </c>
      <c r="B1634" s="14" t="s">
        <v>22</v>
      </c>
      <c r="C1634" s="14" t="s">
        <v>1008</v>
      </c>
      <c r="D1634" s="14" t="s">
        <v>1011</v>
      </c>
      <c r="E1634" s="16">
        <f>0.642</f>
        <v>0.64200000000000002</v>
      </c>
    </row>
    <row r="1635" spans="1:5" ht="17">
      <c r="A1635" s="1" t="s">
        <v>68</v>
      </c>
      <c r="B1635" s="14" t="s">
        <v>22</v>
      </c>
      <c r="C1635" s="14" t="s">
        <v>1008</v>
      </c>
      <c r="D1635" s="14" t="s">
        <v>1012</v>
      </c>
      <c r="E1635" s="16">
        <f>0.701-0.479</f>
        <v>0.22199999999999998</v>
      </c>
    </row>
    <row r="1636" spans="1:5" ht="17">
      <c r="A1636" s="1" t="s">
        <v>68</v>
      </c>
      <c r="B1636" s="14" t="s">
        <v>24</v>
      </c>
      <c r="C1636" s="14" t="s">
        <v>1013</v>
      </c>
      <c r="D1636" s="14" t="s">
        <v>1014</v>
      </c>
      <c r="E1636" s="16">
        <f>0.11-0.1</f>
        <v>9.999999999999995E-3</v>
      </c>
    </row>
    <row r="1637" spans="1:5" ht="17">
      <c r="A1637" s="1" t="s">
        <v>68</v>
      </c>
      <c r="B1637" s="14" t="s">
        <v>24</v>
      </c>
      <c r="C1637" s="14" t="s">
        <v>1013</v>
      </c>
      <c r="D1637" s="14" t="s">
        <v>1015</v>
      </c>
      <c r="E1637" s="15">
        <f>0.129-0.025</f>
        <v>0.10400000000000001</v>
      </c>
    </row>
    <row r="1638" spans="1:5" ht="17">
      <c r="A1638" s="1" t="s">
        <v>68</v>
      </c>
      <c r="B1638" s="14" t="s">
        <v>24</v>
      </c>
      <c r="C1638" s="14" t="s">
        <v>1013</v>
      </c>
      <c r="D1638" s="14" t="s">
        <v>1016</v>
      </c>
      <c r="E1638" s="16">
        <f>0.15-0.05-0.049-0.02-0.03</f>
        <v>9.9999999999999048E-4</v>
      </c>
    </row>
    <row r="1639" spans="1:5" ht="17">
      <c r="A1639" s="1" t="s">
        <v>68</v>
      </c>
      <c r="B1639" s="13" t="s">
        <v>18</v>
      </c>
      <c r="C1639" s="14" t="s">
        <v>1013</v>
      </c>
      <c r="D1639" s="14" t="s">
        <v>1017</v>
      </c>
      <c r="E1639" s="15">
        <f>0.149-0.05</f>
        <v>9.8999999999999991E-2</v>
      </c>
    </row>
    <row r="1640" spans="1:5" ht="17">
      <c r="A1640" s="1" t="s">
        <v>68</v>
      </c>
      <c r="B1640" s="13" t="s">
        <v>18</v>
      </c>
      <c r="C1640" s="14" t="s">
        <v>1013</v>
      </c>
      <c r="D1640" s="14" t="s">
        <v>1018</v>
      </c>
      <c r="E1640" s="15">
        <f>0.3-0.018-0.02-0.05-0.05-0.015-0.015-0.015-0.017-0.015-0.052</f>
        <v>3.2999999999999953E-2</v>
      </c>
    </row>
    <row r="1641" spans="1:5" ht="17">
      <c r="A1641" s="1" t="s">
        <v>68</v>
      </c>
      <c r="B1641" s="13" t="s">
        <v>18</v>
      </c>
      <c r="C1641" s="14" t="s">
        <v>1019</v>
      </c>
      <c r="D1641" s="14">
        <v>18</v>
      </c>
      <c r="E1641" s="15">
        <f>1.418-0.463-0.055-0.098</f>
        <v>0.80199999999999982</v>
      </c>
    </row>
    <row r="1642" spans="1:5" ht="17">
      <c r="A1642" s="1" t="s">
        <v>68</v>
      </c>
      <c r="B1642" s="13" t="s">
        <v>18</v>
      </c>
      <c r="C1642" s="14" t="s">
        <v>1019</v>
      </c>
      <c r="D1642" s="14">
        <v>20</v>
      </c>
      <c r="E1642" s="15">
        <f>0.798-0.334-0.206-0.07-0.051-0.097-0.02</f>
        <v>2.0000000000000007E-2</v>
      </c>
    </row>
    <row r="1643" spans="1:5" ht="17">
      <c r="A1643" s="1" t="s">
        <v>68</v>
      </c>
      <c r="B1643" s="13" t="s">
        <v>18</v>
      </c>
      <c r="C1643" s="14" t="s">
        <v>1019</v>
      </c>
      <c r="D1643" s="14">
        <v>28</v>
      </c>
      <c r="E1643" s="16">
        <f>1.033-0.574</f>
        <v>0.45899999999999996</v>
      </c>
    </row>
    <row r="1644" spans="1:5" ht="17">
      <c r="A1644" s="1" t="s">
        <v>68</v>
      </c>
      <c r="B1644" s="13" t="s">
        <v>18</v>
      </c>
      <c r="C1644" s="14" t="s">
        <v>1019</v>
      </c>
      <c r="D1644" s="14">
        <v>30</v>
      </c>
      <c r="E1644" s="15">
        <f>1.095-0.847-0.1-0.1</f>
        <v>4.7999999999999987E-2</v>
      </c>
    </row>
    <row r="1645" spans="1:5" ht="17">
      <c r="A1645" s="1" t="s">
        <v>68</v>
      </c>
      <c r="B1645" s="13" t="s">
        <v>18</v>
      </c>
      <c r="C1645" s="14" t="s">
        <v>1019</v>
      </c>
      <c r="D1645" s="14">
        <v>32</v>
      </c>
      <c r="E1645" s="16">
        <f>1.245-0.392-0.103-0.495</f>
        <v>0.25500000000000012</v>
      </c>
    </row>
    <row r="1646" spans="1:5" ht="17">
      <c r="A1646" s="1" t="s">
        <v>68</v>
      </c>
      <c r="B1646" s="13" t="s">
        <v>18</v>
      </c>
      <c r="C1646" s="14" t="s">
        <v>1019</v>
      </c>
      <c r="D1646" s="14">
        <v>35</v>
      </c>
      <c r="E1646" s="16">
        <f>0.663</f>
        <v>0.66300000000000003</v>
      </c>
    </row>
    <row r="1647" spans="1:5" ht="17">
      <c r="A1647" s="1" t="s">
        <v>68</v>
      </c>
      <c r="B1647" s="13" t="s">
        <v>18</v>
      </c>
      <c r="C1647" s="14" t="s">
        <v>1019</v>
      </c>
      <c r="D1647" s="14">
        <v>35</v>
      </c>
      <c r="E1647" s="16">
        <f>2.354-0.118-0.5</f>
        <v>1.7360000000000002</v>
      </c>
    </row>
    <row r="1648" spans="1:5" ht="17">
      <c r="A1648" s="1" t="s">
        <v>68</v>
      </c>
      <c r="B1648" s="13" t="s">
        <v>18</v>
      </c>
      <c r="C1648" s="14" t="s">
        <v>1019</v>
      </c>
      <c r="D1648" s="14">
        <v>36</v>
      </c>
      <c r="E1648" s="16">
        <f>1.658-0.793-0.249-0.306</f>
        <v>0.30999999999999989</v>
      </c>
    </row>
    <row r="1649" spans="1:5" ht="17">
      <c r="A1649" s="1" t="s">
        <v>68</v>
      </c>
      <c r="B1649" s="13" t="s">
        <v>18</v>
      </c>
      <c r="C1649" s="14" t="s">
        <v>1019</v>
      </c>
      <c r="D1649" s="14">
        <v>36</v>
      </c>
      <c r="E1649" s="16">
        <f>1.856</f>
        <v>1.8560000000000001</v>
      </c>
    </row>
    <row r="1650" spans="1:5" ht="17">
      <c r="A1650" s="1" t="s">
        <v>68</v>
      </c>
      <c r="B1650" s="13" t="s">
        <v>18</v>
      </c>
      <c r="C1650" s="14" t="s">
        <v>1019</v>
      </c>
      <c r="D1650" s="14">
        <v>45</v>
      </c>
      <c r="E1650" s="16">
        <f>1.24-0.1-0.3-0.297</f>
        <v>0.54299999999999993</v>
      </c>
    </row>
    <row r="1651" spans="1:5" ht="17">
      <c r="A1651" s="1" t="s">
        <v>68</v>
      </c>
      <c r="B1651" s="13" t="s">
        <v>18</v>
      </c>
      <c r="C1651" s="14" t="s">
        <v>1019</v>
      </c>
      <c r="D1651" s="14">
        <v>50</v>
      </c>
      <c r="E1651" s="16">
        <f>0.799-0.316-0.11</f>
        <v>0.37300000000000005</v>
      </c>
    </row>
    <row r="1652" spans="1:5" ht="17">
      <c r="A1652" s="1" t="s">
        <v>68</v>
      </c>
      <c r="B1652" s="13" t="s">
        <v>18</v>
      </c>
      <c r="C1652" s="14" t="s">
        <v>1019</v>
      </c>
      <c r="D1652" s="14">
        <v>50</v>
      </c>
      <c r="E1652" s="16">
        <f>0.785-0.321+(0.321)</f>
        <v>0.78500000000000003</v>
      </c>
    </row>
    <row r="1653" spans="1:5" ht="17">
      <c r="A1653" s="1" t="s">
        <v>68</v>
      </c>
      <c r="B1653" s="13" t="s">
        <v>18</v>
      </c>
      <c r="C1653" s="14" t="s">
        <v>1019</v>
      </c>
      <c r="D1653" s="14">
        <v>55</v>
      </c>
      <c r="E1653" s="16">
        <f>0.495-0.283-0.07</f>
        <v>0.14200000000000002</v>
      </c>
    </row>
    <row r="1654" spans="1:5" ht="17">
      <c r="A1654" s="1" t="s">
        <v>68</v>
      </c>
      <c r="B1654" s="13" t="s">
        <v>18</v>
      </c>
      <c r="C1654" s="14" t="s">
        <v>1019</v>
      </c>
      <c r="D1654" s="14">
        <v>70</v>
      </c>
      <c r="E1654" s="16">
        <f>1.095-0.681-0.068</f>
        <v>0.34599999999999992</v>
      </c>
    </row>
    <row r="1655" spans="1:5" ht="17">
      <c r="A1655" s="1" t="s">
        <v>68</v>
      </c>
      <c r="B1655" s="13" t="s">
        <v>18</v>
      </c>
      <c r="C1655" s="14" t="s">
        <v>1019</v>
      </c>
      <c r="D1655" s="14">
        <v>70</v>
      </c>
      <c r="E1655" s="16">
        <f>1.337-0.571-0.066</f>
        <v>0.7</v>
      </c>
    </row>
    <row r="1656" spans="1:5" ht="17">
      <c r="A1656" s="1" t="s">
        <v>68</v>
      </c>
      <c r="B1656" s="13" t="s">
        <v>18</v>
      </c>
      <c r="C1656" s="14" t="s">
        <v>1020</v>
      </c>
      <c r="D1656" s="14">
        <v>100</v>
      </c>
      <c r="E1656" s="16">
        <f>1.198-0.206</f>
        <v>0.99199999999999999</v>
      </c>
    </row>
    <row r="1657" spans="1:5" ht="17">
      <c r="A1657" s="1" t="s">
        <v>68</v>
      </c>
      <c r="B1657" s="13" t="s">
        <v>18</v>
      </c>
      <c r="C1657" s="14" t="s">
        <v>1020</v>
      </c>
      <c r="D1657" s="14">
        <v>110</v>
      </c>
      <c r="E1657" s="16">
        <f>1.41</f>
        <v>1.41</v>
      </c>
    </row>
    <row r="1658" spans="1:5" ht="17">
      <c r="A1658" s="1" t="s">
        <v>68</v>
      </c>
      <c r="B1658" s="13" t="s">
        <v>18</v>
      </c>
      <c r="C1658" s="14" t="s">
        <v>1020</v>
      </c>
      <c r="D1658" s="14">
        <v>120</v>
      </c>
      <c r="E1658" s="16">
        <f>1.246-0.422-0.42</f>
        <v>0.40400000000000008</v>
      </c>
    </row>
    <row r="1659" spans="1:5" ht="17">
      <c r="A1659" s="1" t="s">
        <v>68</v>
      </c>
      <c r="B1659" s="13" t="s">
        <v>18</v>
      </c>
      <c r="C1659" s="14" t="s">
        <v>1020</v>
      </c>
      <c r="D1659" s="14">
        <v>130</v>
      </c>
      <c r="E1659" s="16">
        <f>1.247-0.07</f>
        <v>1.177</v>
      </c>
    </row>
    <row r="1660" spans="1:5" ht="17">
      <c r="A1660" s="1" t="s">
        <v>68</v>
      </c>
      <c r="B1660" s="13" t="s">
        <v>18</v>
      </c>
      <c r="C1660" s="14" t="s">
        <v>1020</v>
      </c>
      <c r="D1660" s="14">
        <v>140</v>
      </c>
      <c r="E1660" s="16">
        <f>1.803-0.267</f>
        <v>1.536</v>
      </c>
    </row>
    <row r="1661" spans="1:5" ht="17">
      <c r="A1661" s="1" t="s">
        <v>68</v>
      </c>
      <c r="B1661" s="13" t="s">
        <v>18</v>
      </c>
      <c r="C1661" s="14" t="s">
        <v>1020</v>
      </c>
      <c r="D1661" s="14">
        <v>150</v>
      </c>
      <c r="E1661" s="16">
        <f>1.644</f>
        <v>1.6439999999999999</v>
      </c>
    </row>
    <row r="1662" spans="1:5" ht="17">
      <c r="A1662" s="1" t="s">
        <v>68</v>
      </c>
      <c r="B1662" s="13" t="s">
        <v>18</v>
      </c>
      <c r="C1662" s="14" t="s">
        <v>1020</v>
      </c>
      <c r="D1662" s="14">
        <v>160</v>
      </c>
      <c r="E1662" s="16">
        <f>1.551</f>
        <v>1.5509999999999999</v>
      </c>
    </row>
    <row r="1663" spans="1:5" ht="17">
      <c r="A1663" s="1" t="s">
        <v>68</v>
      </c>
      <c r="B1663" s="13" t="s">
        <v>18</v>
      </c>
      <c r="C1663" s="14" t="s">
        <v>1020</v>
      </c>
      <c r="D1663" s="14">
        <v>180</v>
      </c>
      <c r="E1663" s="16">
        <f>1.366</f>
        <v>1.3660000000000001</v>
      </c>
    </row>
    <row r="1664" spans="1:5" ht="17">
      <c r="A1664" s="1" t="s">
        <v>68</v>
      </c>
      <c r="B1664" s="13" t="s">
        <v>43</v>
      </c>
      <c r="C1664" s="14" t="s">
        <v>1021</v>
      </c>
      <c r="D1664" s="14">
        <v>190</v>
      </c>
      <c r="E1664" s="15">
        <f>0.31-0.042</f>
        <v>0.26800000000000002</v>
      </c>
    </row>
    <row r="1665" spans="1:5" ht="17">
      <c r="A1665" s="1" t="s">
        <v>68</v>
      </c>
      <c r="B1665" s="13" t="s">
        <v>18</v>
      </c>
      <c r="C1665" s="14" t="s">
        <v>1020</v>
      </c>
      <c r="D1665" s="14">
        <v>190</v>
      </c>
      <c r="E1665" s="16">
        <f>1.442</f>
        <v>1.4419999999999999</v>
      </c>
    </row>
    <row r="1666" spans="1:5" ht="17">
      <c r="A1666" s="1" t="s">
        <v>68</v>
      </c>
      <c r="B1666" s="13" t="s">
        <v>25</v>
      </c>
      <c r="C1666" s="13" t="s">
        <v>1022</v>
      </c>
      <c r="D1666" s="14">
        <v>65</v>
      </c>
      <c r="E1666" s="15">
        <f>0.146-0.104+0.006</f>
        <v>4.7999999999999994E-2</v>
      </c>
    </row>
    <row r="1667" spans="1:5" ht="17">
      <c r="A1667" s="1" t="s">
        <v>68</v>
      </c>
      <c r="B1667" s="13" t="s">
        <v>25</v>
      </c>
      <c r="C1667" s="13" t="s">
        <v>1022</v>
      </c>
      <c r="D1667" s="14">
        <v>170</v>
      </c>
      <c r="E1667" s="16">
        <f>0.56-0.032</f>
        <v>0.52800000000000002</v>
      </c>
    </row>
    <row r="1668" spans="1:5" ht="17">
      <c r="A1668" s="1" t="s">
        <v>68</v>
      </c>
      <c r="B1668" s="27" t="s">
        <v>30</v>
      </c>
      <c r="C1668" s="41" t="s">
        <v>1023</v>
      </c>
      <c r="D1668" s="17">
        <v>120</v>
      </c>
      <c r="E1668" s="29">
        <f>0.1</f>
        <v>0.1</v>
      </c>
    </row>
    <row r="1669" spans="1:5" ht="17">
      <c r="A1669" s="1" t="s">
        <v>68</v>
      </c>
      <c r="B1669" s="27" t="s">
        <v>16</v>
      </c>
      <c r="C1669" s="40" t="s">
        <v>1024</v>
      </c>
      <c r="D1669" s="17">
        <v>70</v>
      </c>
      <c r="E1669" s="29">
        <f>0.182-0.015+0.001</f>
        <v>0.16799999999999998</v>
      </c>
    </row>
    <row r="1670" spans="1:5" ht="17">
      <c r="A1670" s="1" t="s">
        <v>68</v>
      </c>
      <c r="B1670" s="27" t="s">
        <v>16</v>
      </c>
      <c r="C1670" s="40" t="s">
        <v>1024</v>
      </c>
      <c r="D1670" s="17">
        <v>190</v>
      </c>
      <c r="E1670" s="29">
        <f>0.534-0.374</f>
        <v>0.16000000000000003</v>
      </c>
    </row>
    <row r="1671" spans="1:5" ht="17">
      <c r="A1671" s="1" t="s">
        <v>68</v>
      </c>
      <c r="B1671" s="27" t="s">
        <v>16</v>
      </c>
      <c r="C1671" s="40" t="s">
        <v>1024</v>
      </c>
      <c r="D1671" s="17">
        <v>200</v>
      </c>
      <c r="E1671" s="29">
        <f>0.8-0.418+0.002</f>
        <v>0.38400000000000006</v>
      </c>
    </row>
    <row r="1672" spans="1:5" ht="17">
      <c r="A1672" s="1" t="s">
        <v>68</v>
      </c>
      <c r="B1672" s="23" t="s">
        <v>29</v>
      </c>
      <c r="C1672" s="23" t="s">
        <v>1025</v>
      </c>
      <c r="D1672" s="17">
        <v>10</v>
      </c>
      <c r="E1672" s="18">
        <f>0.019</f>
        <v>1.9E-2</v>
      </c>
    </row>
    <row r="1673" spans="1:5" ht="17">
      <c r="A1673" s="1" t="s">
        <v>68</v>
      </c>
      <c r="B1673" s="23" t="s">
        <v>29</v>
      </c>
      <c r="C1673" s="23" t="s">
        <v>1026</v>
      </c>
      <c r="D1673" s="17">
        <v>70</v>
      </c>
      <c r="E1673" s="18">
        <f>0.17-0.06-0.006-0.048</f>
        <v>5.6000000000000008E-2</v>
      </c>
    </row>
    <row r="1674" spans="1:5" ht="17">
      <c r="A1674" s="1" t="s">
        <v>68</v>
      </c>
      <c r="B1674" s="23" t="s">
        <v>29</v>
      </c>
      <c r="C1674" s="23" t="s">
        <v>1027</v>
      </c>
      <c r="D1674" s="17">
        <v>360</v>
      </c>
      <c r="E1674" s="18">
        <f>5.317-1.784</f>
        <v>3.5330000000000004</v>
      </c>
    </row>
    <row r="1675" spans="1:5" ht="17">
      <c r="A1675" s="1" t="s">
        <v>68</v>
      </c>
      <c r="B1675" s="23" t="s">
        <v>29</v>
      </c>
      <c r="C1675" s="23" t="s">
        <v>1028</v>
      </c>
      <c r="D1675" s="17" t="s">
        <v>1029</v>
      </c>
      <c r="E1675" s="18">
        <f>0.3-0.035-0.023-0.069</f>
        <v>0.17300000000000001</v>
      </c>
    </row>
    <row r="1676" spans="1:5" ht="17">
      <c r="A1676" s="1" t="s">
        <v>68</v>
      </c>
      <c r="B1676" s="23" t="s">
        <v>29</v>
      </c>
      <c r="C1676" s="23" t="s">
        <v>1030</v>
      </c>
      <c r="D1676" s="17" t="s">
        <v>1031</v>
      </c>
      <c r="E1676" s="18">
        <f>0.11</f>
        <v>0.11</v>
      </c>
    </row>
    <row r="1677" spans="1:5" ht="17">
      <c r="A1677" s="1" t="s">
        <v>68</v>
      </c>
      <c r="B1677" s="23" t="s">
        <v>29</v>
      </c>
      <c r="C1677" s="23" t="s">
        <v>1032</v>
      </c>
      <c r="D1677" s="17" t="s">
        <v>1033</v>
      </c>
      <c r="E1677" s="18">
        <f>1.53</f>
        <v>1.53</v>
      </c>
    </row>
    <row r="1678" spans="1:5" ht="17">
      <c r="A1678" s="1" t="s">
        <v>68</v>
      </c>
      <c r="B1678" s="23" t="s">
        <v>29</v>
      </c>
      <c r="C1678" s="23" t="s">
        <v>1032</v>
      </c>
      <c r="D1678" s="17" t="s">
        <v>1034</v>
      </c>
      <c r="E1678" s="18">
        <f>2.155</f>
        <v>2.1549999999999998</v>
      </c>
    </row>
    <row r="1679" spans="1:5" ht="17">
      <c r="A1679" s="1" t="s">
        <v>68</v>
      </c>
      <c r="B1679" s="23" t="s">
        <v>29</v>
      </c>
      <c r="C1679" s="23" t="s">
        <v>1035</v>
      </c>
      <c r="D1679" s="17" t="s">
        <v>1036</v>
      </c>
      <c r="E1679" s="18">
        <f>2.73-0.516</f>
        <v>2.214</v>
      </c>
    </row>
    <row r="1680" spans="1:5" ht="18" thickBot="1">
      <c r="A1680" s="2" t="s">
        <v>68</v>
      </c>
      <c r="B1680" s="42" t="s">
        <v>29</v>
      </c>
      <c r="C1680" s="42" t="s">
        <v>1030</v>
      </c>
      <c r="D1680" s="43" t="s">
        <v>1037</v>
      </c>
      <c r="E1680" s="44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2025-11-24T07:40:46Z</dcterms:modified>
</cp:coreProperties>
</file>