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esktop/"/>
    </mc:Choice>
  </mc:AlternateContent>
  <xr:revisionPtr revIDLastSave="0" documentId="8_{4E5235B1-F23B-A348-A922-958C92F94E66}" xr6:coauthVersionLast="47" xr6:coauthVersionMax="47" xr10:uidLastSave="{00000000-0000-0000-0000-000000000000}"/>
  <bookViews>
    <workbookView xWindow="8760" yWindow="2260" windowWidth="15480" windowHeight="11640" tabRatio="599" xr2:uid="{00000000-000D-0000-FFFF-FFFF00000000}"/>
  </bookViews>
  <sheets>
    <sheet name="Лист1" sheetId="3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1" i="3" l="1"/>
  <c r="E652" i="3"/>
  <c r="E653" i="3"/>
  <c r="E654" i="3"/>
  <c r="E655" i="3"/>
  <c r="E656" i="3"/>
  <c r="E657" i="3"/>
  <c r="E658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3" i="3"/>
  <c r="E954" i="3"/>
  <c r="E955" i="3"/>
  <c r="E956" i="3"/>
  <c r="E957" i="3"/>
  <c r="E958" i="3"/>
  <c r="E959" i="3"/>
  <c r="E960" i="3"/>
  <c r="E961" i="3"/>
  <c r="E963" i="3"/>
  <c r="E964" i="3"/>
  <c r="E965" i="3"/>
  <c r="E966" i="3"/>
  <c r="E967" i="3"/>
  <c r="E968" i="3"/>
  <c r="E969" i="3"/>
  <c r="E970" i="3"/>
  <c r="E971" i="3"/>
  <c r="E972" i="3"/>
  <c r="E650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17" i="3"/>
  <c r="E61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476" i="3"/>
  <c r="E477" i="3"/>
  <c r="E478" i="3"/>
  <c r="E479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15" i="3"/>
  <c r="E416" i="3"/>
  <c r="E417" i="3"/>
  <c r="E418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<sst xmlns="http://schemas.openxmlformats.org/spreadsheetml/2006/main" count="3711" uniqueCount="767">
  <si>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</si>
  <si>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</si>
  <si>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</si>
  <si>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Склад  на  07.11.2023г.</t>
  </si>
  <si>
    <t>№ п/п</t>
  </si>
  <si>
    <t>Марка</t>
  </si>
  <si>
    <t>Требования</t>
  </si>
  <si>
    <t>Размер, мм</t>
  </si>
  <si>
    <t>Кол-во, тн</t>
  </si>
  <si>
    <t>Холоднокатаный листовой металлопрокат</t>
  </si>
  <si>
    <t>65Г</t>
  </si>
  <si>
    <t>ГОСТ 14959-2016, ГОСТ 2283-79, С-НО</t>
  </si>
  <si>
    <t>0,5х450х2000</t>
  </si>
  <si>
    <t>ГОСТ 14959-2016, ГОСТ 2283-79, С</t>
  </si>
  <si>
    <t>0,7х450х2000</t>
  </si>
  <si>
    <t>ГОСТ 14959-79, ГОСТ 2283-79, С-НО</t>
  </si>
  <si>
    <t>0,8х450х2000</t>
  </si>
  <si>
    <t>ГОСТ 14959-2016, ГОСТ 2283-79</t>
  </si>
  <si>
    <t xml:space="preserve">1х450х2000    </t>
  </si>
  <si>
    <t>ГОСТ 14959-2016 / ТУ 14-1-4118-2004 / ГОСТ 19904-90</t>
  </si>
  <si>
    <t xml:space="preserve">1х1200х2000    </t>
  </si>
  <si>
    <t>1,2х450х2000</t>
  </si>
  <si>
    <t>1,5х450х2000</t>
  </si>
  <si>
    <t xml:space="preserve">1,5х1200х2000    </t>
  </si>
  <si>
    <t>1,6х450х2000</t>
  </si>
  <si>
    <t>ГОСТ 14959-79, ГОСТ 2283-79</t>
  </si>
  <si>
    <t>2х450х2000</t>
  </si>
  <si>
    <t xml:space="preserve">2,0х1200х2000    </t>
  </si>
  <si>
    <t>2,5х450х2000</t>
  </si>
  <si>
    <t>ГОСТ 14959-79, ГОСТ 2283-79, Н, О, С, ТШ</t>
  </si>
  <si>
    <t>3х450х2000</t>
  </si>
  <si>
    <t>3х450х1000</t>
  </si>
  <si>
    <t>60С2А</t>
  </si>
  <si>
    <t>ГОСТ 14959-2016, 2283-79, плоск-ть по ГОСТ 19904-90</t>
  </si>
  <si>
    <t>0,52х111х1200</t>
  </si>
  <si>
    <t>0,52х131х1200</t>
  </si>
  <si>
    <t>0,6х450х2000</t>
  </si>
  <si>
    <t>ТУ 14-550-6-94, ГОСТ 14959-2016</t>
  </si>
  <si>
    <t>1,0х320х2000</t>
  </si>
  <si>
    <t>ГОСТ 14959-2016, ГОСТ 19904-90</t>
  </si>
  <si>
    <t>1,0х1010х2000</t>
  </si>
  <si>
    <t>1,0х1180х2000</t>
  </si>
  <si>
    <t>1,4х450х2000</t>
  </si>
  <si>
    <t>1,5х320х2000</t>
  </si>
  <si>
    <t>1,5х1180х2000</t>
  </si>
  <si>
    <t>1,7х450х2000</t>
  </si>
  <si>
    <t>2,0х1150х2000</t>
  </si>
  <si>
    <t>2,0х1180х2000</t>
  </si>
  <si>
    <t>30ХГСА</t>
  </si>
  <si>
    <t>ГОСТ 4543-71, ТУ 14-1-4118-2004</t>
  </si>
  <si>
    <t>0,6х350х2000</t>
  </si>
  <si>
    <t>0,7х350х2000</t>
  </si>
  <si>
    <t>0,7х380х2000</t>
  </si>
  <si>
    <t>ГОСТ 4543-71, 11268-76, 19904-90, ПН, БД, БТ, БШ</t>
  </si>
  <si>
    <t>1,0х1200х2000</t>
  </si>
  <si>
    <t>ГОСТ 4543-2016, 11268-76, 19904-90, ПН, БД, БТ, БШ</t>
  </si>
  <si>
    <t>1,2х1200х2000</t>
  </si>
  <si>
    <t>ТУ 14-1-4118-2004, ГОСТ 4543-71</t>
  </si>
  <si>
    <t>1,4х380х2000</t>
  </si>
  <si>
    <t>ГОСТ 4543-71, 11268-76, 19904-90</t>
  </si>
  <si>
    <t>1,5х1200х2000</t>
  </si>
  <si>
    <t>ГОСТ 7566-2018, 11268-76, 19904-90</t>
  </si>
  <si>
    <t>2,0х1200х1640</t>
  </si>
  <si>
    <t>2,0х1200х2000</t>
  </si>
  <si>
    <t>ГОСТ 4543-71, 11268-76, 19904-90, БД, БТ, БШ</t>
  </si>
  <si>
    <t>2,5х600х1300</t>
  </si>
  <si>
    <t>2,5х1200х2000</t>
  </si>
  <si>
    <t>3х1200х2000</t>
  </si>
  <si>
    <t>ГОСТ 19904-90, 11268-76, БТ-I-ПН-О</t>
  </si>
  <si>
    <t>3,5х1000х2000</t>
  </si>
  <si>
    <t>ГОСТ 19904-90, 11268-76, БТ-I-ПН-О, с РТ-Техприемкой</t>
  </si>
  <si>
    <t>Ст.20</t>
  </si>
  <si>
    <t>ГОСТ 16523-97, 19904-90</t>
  </si>
  <si>
    <t>0,5х1250х2500</t>
  </si>
  <si>
    <t>0,7х1250х2500</t>
  </si>
  <si>
    <t>0,6х1250х2500</t>
  </si>
  <si>
    <t>0,8х1250х2500</t>
  </si>
  <si>
    <t>1х1250х2500</t>
  </si>
  <si>
    <t>Ст20</t>
  </si>
  <si>
    <t>1,5х1250х2500</t>
  </si>
  <si>
    <t>1,6х1250х2500</t>
  </si>
  <si>
    <t>2х1250х2500</t>
  </si>
  <si>
    <t>2,5х1250х2500</t>
  </si>
  <si>
    <t>3х1250х2500</t>
  </si>
  <si>
    <t>Ст35</t>
  </si>
  <si>
    <t>ГОСТ 2284-79, ГОСТ 1050-2013,  Т-Ш-С</t>
  </si>
  <si>
    <t>0,5х350х2000</t>
  </si>
  <si>
    <t>ГОСТ 2284-79, ГОСТ 1050-2013, отожжённая, Т-Ш-С</t>
  </si>
  <si>
    <t>ГОСТ 19904-90, 16523-97, БТ-О, ТО, травл.</t>
  </si>
  <si>
    <t>1х1000х2000</t>
  </si>
  <si>
    <t>ГОСТ 19904-90, 16523-97, БТ-ПН-О, ТО, травл.</t>
  </si>
  <si>
    <t>1,5х1000х2000</t>
  </si>
  <si>
    <t>2х1000х2000</t>
  </si>
  <si>
    <t>3х1000х2000</t>
  </si>
  <si>
    <t>Ст.45</t>
  </si>
  <si>
    <t>ГОСТ 2284-79, 1050-2013, х/к</t>
  </si>
  <si>
    <t>1,0х450х2000</t>
  </si>
  <si>
    <t>2,0х450х2000</t>
  </si>
  <si>
    <t>3,0х450х2000</t>
  </si>
  <si>
    <t>Ст50</t>
  </si>
  <si>
    <t>ГОСТ 2284-79, 1050-2013</t>
  </si>
  <si>
    <t>1,0х310х2000</t>
  </si>
  <si>
    <t>0,5х330х2000</t>
  </si>
  <si>
    <t>1,6х340х2000</t>
  </si>
  <si>
    <t>1,6х350х2000</t>
  </si>
  <si>
    <t>ст08кп</t>
  </si>
  <si>
    <t>08пс</t>
  </si>
  <si>
    <t>Ст.10</t>
  </si>
  <si>
    <t>1,0х1250х2500</t>
  </si>
  <si>
    <t>2,0х1250х2500</t>
  </si>
  <si>
    <t>3,0х1250х2500</t>
  </si>
  <si>
    <t>440С</t>
  </si>
  <si>
    <t>ГОСТ 5632-72</t>
  </si>
  <si>
    <t>1,2х800</t>
  </si>
  <si>
    <t>1,5х610-800</t>
  </si>
  <si>
    <t>2,0х610-800</t>
  </si>
  <si>
    <t>2,0х800</t>
  </si>
  <si>
    <t>2,5х800</t>
  </si>
  <si>
    <t>3,0х800 х/к</t>
  </si>
  <si>
    <t>4,0х800 х/к</t>
  </si>
  <si>
    <t>Конструкционный горячекатаный листовой металлопрокат</t>
  </si>
  <si>
    <t>ТУ14-1-4118-2004, ГОСТ 19903-2015, ТО</t>
  </si>
  <si>
    <t>2х1000х1600</t>
  </si>
  <si>
    <t>ТУ 14-1-4118-2004, г/к, травленый, Б, III, ПН, НО, ТО</t>
  </si>
  <si>
    <t>2,5х600х2000</t>
  </si>
  <si>
    <t>ТУ 14-1-4118-2004, ГОСТ 19903-2015, ТО</t>
  </si>
  <si>
    <t>2,5х1000х2000</t>
  </si>
  <si>
    <t>ТУ 14-1-4118-2004, ГОСТ 19903-2015, отжиг</t>
  </si>
  <si>
    <t>ГОСТ 19903-2015, 1577-93</t>
  </si>
  <si>
    <t>4х1200х2000</t>
  </si>
  <si>
    <t>ГОСТ 19903-2015, 1577-93, отжиг</t>
  </si>
  <si>
    <t>5х1250х2500</t>
  </si>
  <si>
    <t>6х1000х2000</t>
  </si>
  <si>
    <t>6х1250х2500</t>
  </si>
  <si>
    <t>ГОСТ 19903-2015, 1577-22, отжиг, травление</t>
  </si>
  <si>
    <t>7х1250х2500</t>
  </si>
  <si>
    <t>8х1250х2500</t>
  </si>
  <si>
    <t>10х1250х2500</t>
  </si>
  <si>
    <t>ГОСТ 19903-2015, 1577-2022</t>
  </si>
  <si>
    <t>12х1500х3000</t>
  </si>
  <si>
    <t>16х1500х1990</t>
  </si>
  <si>
    <t>16х1500х6000</t>
  </si>
  <si>
    <t>20х1500х6000</t>
  </si>
  <si>
    <t>20х1500х5710</t>
  </si>
  <si>
    <t>25х1400х720</t>
  </si>
  <si>
    <t>25х1500х6000</t>
  </si>
  <si>
    <t>30х1500х6000</t>
  </si>
  <si>
    <t>ТУ 14-1-1409-2018, 19903-2015, Б-ПН-О, отжиг, трав., промасл.</t>
  </si>
  <si>
    <t>ТУ 14-1-1409-2018, 19903-2015, Б-ПН-О, отжиг</t>
  </si>
  <si>
    <t>4х1000х2000</t>
  </si>
  <si>
    <t>ТУ 14-1-1409-2018, 19903-2015, Б-ПН-НО, без отжига</t>
  </si>
  <si>
    <t>ТУ 14-1-1409-2018, 19903-2015, Б-ПН-НО,  отжиг</t>
  </si>
  <si>
    <t>6х1500х6000</t>
  </si>
  <si>
    <t>8х1500х1660</t>
  </si>
  <si>
    <t>10х1500х6000</t>
  </si>
  <si>
    <t>10х1500х1470</t>
  </si>
  <si>
    <t>10х1500х3300</t>
  </si>
  <si>
    <t>14х1500х6000</t>
  </si>
  <si>
    <t>14х1500х5060</t>
  </si>
  <si>
    <t>16х1500х2980</t>
  </si>
  <si>
    <t>20х1500х5700</t>
  </si>
  <si>
    <t>ТУ 14-1-1409-2015, 19903-2015, Б-ПН-О, отжиг</t>
  </si>
  <si>
    <t>20х1500х5700-5880</t>
  </si>
  <si>
    <t>ТУ 14-1-1409-2018, ТС 132-219-2021</t>
  </si>
  <si>
    <t>30х1500х1500</t>
  </si>
  <si>
    <t>ГОСТ 11268-76, отжиг, травл., 19903-2015, Б, ПН-НО, РТ-Техприемка</t>
  </si>
  <si>
    <t>ГОСТ 11268-76, отжиг, травл., 19903-2015, Б, ПН-НО</t>
  </si>
  <si>
    <t>3,0х1000х2000</t>
  </si>
  <si>
    <t>ГОСТ 11269-76, травл., 19903-2015, Б, ПН-НО, РТ-Техприемка</t>
  </si>
  <si>
    <t>4х1250х2500</t>
  </si>
  <si>
    <t>ГОСТ 11269-76, травл., 19903-2015, Б, ПН-О, РТ-Техприемка</t>
  </si>
  <si>
    <t>4,5х1000х2000</t>
  </si>
  <si>
    <t>ГОСТ 11269-76, 19903-2015, отжиг, Б, НО-ПН, РТ-Техприемка</t>
  </si>
  <si>
    <t>6х1500х1800</t>
  </si>
  <si>
    <t>ГОСТ 11269-76, отжиг, травл., 19903-2015, ПН-О, РТ-Техприемка</t>
  </si>
  <si>
    <t>10х1500х1540</t>
  </si>
  <si>
    <t>ГОСТ 11269-76, 19903-2015</t>
  </si>
  <si>
    <t>12х1500х540</t>
  </si>
  <si>
    <t>12х1500х990</t>
  </si>
  <si>
    <t>ГОСТ 11269-76, отжиг, травл., 19903-2015, Б, ПН-О, РТ-Техприемка</t>
  </si>
  <si>
    <t>12,5х1500х3010</t>
  </si>
  <si>
    <t>14х1500х620</t>
  </si>
  <si>
    <t>14х1500х2230</t>
  </si>
  <si>
    <t>14х2000х6000</t>
  </si>
  <si>
    <t>15х1500х6000</t>
  </si>
  <si>
    <t>ГОСТ 11269-76, 19903-2015,                   РТ-Техприемка</t>
  </si>
  <si>
    <t>15х1500х3990</t>
  </si>
  <si>
    <t>18х1500х340</t>
  </si>
  <si>
    <t>18х1500х550</t>
  </si>
  <si>
    <t>18х1500х660</t>
  </si>
  <si>
    <t>ГОСТ 11269-76, 19903-2015, РТ-Техприемка</t>
  </si>
  <si>
    <t>18х1500х3470</t>
  </si>
  <si>
    <t>18х1500х6000</t>
  </si>
  <si>
    <t>18х1500х4290</t>
  </si>
  <si>
    <t>20х1500х980</t>
  </si>
  <si>
    <t>20х1500х4190</t>
  </si>
  <si>
    <t>ГОСТ 11269-76, 19903-2015,  РТ-Техприемка</t>
  </si>
  <si>
    <t>20х1500х3000</t>
  </si>
  <si>
    <t>22х1500х6000</t>
  </si>
  <si>
    <t>22х1500х5420</t>
  </si>
  <si>
    <t>25х1500х1980</t>
  </si>
  <si>
    <t>ГОСТ 11269-76, 19903-2015,                  РТ-Техприемка</t>
  </si>
  <si>
    <t>25х1500х5500</t>
  </si>
  <si>
    <t>28х1500х1070</t>
  </si>
  <si>
    <t>28х1500х5000</t>
  </si>
  <si>
    <t>30х1500х320</t>
  </si>
  <si>
    <t>30х1500х160</t>
  </si>
  <si>
    <t>30х1500х1380</t>
  </si>
  <si>
    <t>30х1550х6000</t>
  </si>
  <si>
    <t>34х1500х6000</t>
  </si>
  <si>
    <t>36х1500х6000</t>
  </si>
  <si>
    <t>36х1500х2300</t>
  </si>
  <si>
    <t>40х1500х3000</t>
  </si>
  <si>
    <t>40х1500х6000</t>
  </si>
  <si>
    <t>40х1500х1550</t>
  </si>
  <si>
    <t>45х1500х6000</t>
  </si>
  <si>
    <t>45х1500х530</t>
  </si>
  <si>
    <t>45х1500х2120</t>
  </si>
  <si>
    <t>50х1500х560</t>
  </si>
  <si>
    <t>50х1500х240</t>
  </si>
  <si>
    <t>50х1500х2820</t>
  </si>
  <si>
    <t>50х1500х6000</t>
  </si>
  <si>
    <t>60х1500х1870</t>
  </si>
  <si>
    <t>60х1500х6000</t>
  </si>
  <si>
    <t>ГОСТ 11269-76, 19903-2015, с РТ-Техприемкой</t>
  </si>
  <si>
    <t>ГОСТ 19903-2015, ТУ 14-1-4148-2014</t>
  </si>
  <si>
    <t>65х1500х4600</t>
  </si>
  <si>
    <t>65х1500х1640</t>
  </si>
  <si>
    <t>65х1500х5900</t>
  </si>
  <si>
    <t>70х1200х420</t>
  </si>
  <si>
    <t>ГОСТ 19903-2015, ТУ 14-1-4148-2014, НО</t>
  </si>
  <si>
    <t>70х1500х1410</t>
  </si>
  <si>
    <t>70х1200х4400</t>
  </si>
  <si>
    <t>70х1200х4300</t>
  </si>
  <si>
    <t>70х1200х4100</t>
  </si>
  <si>
    <t>75х1500х290</t>
  </si>
  <si>
    <t>75х1500х2820</t>
  </si>
  <si>
    <t>80х1200х460</t>
  </si>
  <si>
    <t>80х1200х3700</t>
  </si>
  <si>
    <t>80х1500х1910</t>
  </si>
  <si>
    <t>80х1500х1990</t>
  </si>
  <si>
    <t>80х1500х1800</t>
  </si>
  <si>
    <t>80х1500х1400</t>
  </si>
  <si>
    <t>85х1500х3820</t>
  </si>
  <si>
    <t>90х1500х420</t>
  </si>
  <si>
    <t>90х1500х2470</t>
  </si>
  <si>
    <t>90х1500х4300</t>
  </si>
  <si>
    <t>100х1500х3620</t>
  </si>
  <si>
    <t>100х1500х420</t>
  </si>
  <si>
    <t>ГОСТ 19903-2015</t>
  </si>
  <si>
    <t>150х240х1360</t>
  </si>
  <si>
    <t>ГОСТ 19903-2015, ТУ 14-123-199-2012</t>
  </si>
  <si>
    <t>160х1500х1340</t>
  </si>
  <si>
    <t>160х1500х2500</t>
  </si>
  <si>
    <t xml:space="preserve">Ст3 </t>
  </si>
  <si>
    <t>ГОСТ 19903-2015, 14637-89, 380-05</t>
  </si>
  <si>
    <t>Ст3</t>
  </si>
  <si>
    <t xml:space="preserve">Ст3сп-5 </t>
  </si>
  <si>
    <t xml:space="preserve"> 6,0х1500х3000</t>
  </si>
  <si>
    <t>ГОСТ 19903-74, 14637-89, 380-05</t>
  </si>
  <si>
    <t>10х1500х1200</t>
  </si>
  <si>
    <t>10х1500х4000</t>
  </si>
  <si>
    <t>10х1500х3000</t>
  </si>
  <si>
    <t>30х1500х220</t>
  </si>
  <si>
    <t>Ст3сп</t>
  </si>
  <si>
    <t>60х1500х410</t>
  </si>
  <si>
    <t>Ст3сп-1</t>
  </si>
  <si>
    <t>125х2000х500</t>
  </si>
  <si>
    <t>ГОСТ 19903-2015, 16523-97, с РТ-Техпр.</t>
  </si>
  <si>
    <t>3,8х710х1420</t>
  </si>
  <si>
    <t>4х1500х3250</t>
  </si>
  <si>
    <t>ГОСТ 19903-2015, 1577-2022, с РТ-Техпр.</t>
  </si>
  <si>
    <t>5х1000х2000</t>
  </si>
  <si>
    <t>8х1000х2000</t>
  </si>
  <si>
    <t>12х1500х2890</t>
  </si>
  <si>
    <t>12х1500х2500</t>
  </si>
  <si>
    <t>12х1500х6000</t>
  </si>
  <si>
    <t>14х1500х5500</t>
  </si>
  <si>
    <t>16х1400х6000</t>
  </si>
  <si>
    <t>16х1500х880</t>
  </si>
  <si>
    <t>16х1500х3000</t>
  </si>
  <si>
    <t>18х1500х2490</t>
  </si>
  <si>
    <t>18х1500х1150</t>
  </si>
  <si>
    <t>20х1500х350</t>
  </si>
  <si>
    <t>20х1500х2900</t>
  </si>
  <si>
    <t>22х1500х5000</t>
  </si>
  <si>
    <t>25х1500х1210</t>
  </si>
  <si>
    <t>25х1500х490</t>
  </si>
  <si>
    <t>ГОСТ 19903-2015, 1577-22, с РТ-Техприемкой</t>
  </si>
  <si>
    <t>30х1500х460</t>
  </si>
  <si>
    <t>30х990х460</t>
  </si>
  <si>
    <t>32х1500х6000</t>
  </si>
  <si>
    <t>36х1500х5180</t>
  </si>
  <si>
    <t>ГОСТ 1577-93, 19903-2015</t>
  </si>
  <si>
    <t>40х1500х1500</t>
  </si>
  <si>
    <r>
      <t>40х1500х</t>
    </r>
    <r>
      <rPr>
        <b/>
        <sz val="11"/>
        <rFont val="Times New Roman"/>
        <family val="1"/>
        <charset val="204"/>
      </rPr>
      <t>680</t>
    </r>
  </si>
  <si>
    <t>40х1500х4000</t>
  </si>
  <si>
    <t>40х1500х970</t>
  </si>
  <si>
    <t>ГОСТ 1577-2022, 19903-2015</t>
  </si>
  <si>
    <t>40х2000х750</t>
  </si>
  <si>
    <t>45х1500х430</t>
  </si>
  <si>
    <t>45х1500х5450</t>
  </si>
  <si>
    <t>50х1500х1040</t>
  </si>
  <si>
    <t>50х780х300</t>
  </si>
  <si>
    <t>50х1500х270</t>
  </si>
  <si>
    <t>50х1500х1490</t>
  </si>
  <si>
    <t>50х1500х5900</t>
  </si>
  <si>
    <t>55х1500х1110</t>
  </si>
  <si>
    <t>55х1500х2040</t>
  </si>
  <si>
    <t>60х190х790</t>
  </si>
  <si>
    <t>60х210х390</t>
  </si>
  <si>
    <r>
      <t>60х</t>
    </r>
    <r>
      <rPr>
        <b/>
        <sz val="11"/>
        <rFont val="Times New Roman"/>
        <family val="1"/>
        <charset val="204"/>
      </rPr>
      <t>1240х330</t>
    </r>
  </si>
  <si>
    <t>60х680х700</t>
  </si>
  <si>
    <t>60х1500х2710</t>
  </si>
  <si>
    <t>60х250х320</t>
  </si>
  <si>
    <t>60х250х330</t>
  </si>
  <si>
    <t>60х240х320</t>
  </si>
  <si>
    <t>60х260х320</t>
  </si>
  <si>
    <t>70х1200х2670</t>
  </si>
  <si>
    <t>70х230х560</t>
  </si>
  <si>
    <t>70х700х150</t>
  </si>
  <si>
    <t>70х1200х2900</t>
  </si>
  <si>
    <t>70х1200х3900</t>
  </si>
  <si>
    <t>70х1500х1020</t>
  </si>
  <si>
    <t>70х1500х220</t>
  </si>
  <si>
    <t>70х550х2000</t>
  </si>
  <si>
    <r>
      <t>75х2000х</t>
    </r>
    <r>
      <rPr>
        <b/>
        <sz val="11"/>
        <rFont val="Times New Roman"/>
        <family val="1"/>
        <charset val="204"/>
      </rPr>
      <t>3130</t>
    </r>
  </si>
  <si>
    <t>80х1500х380</t>
  </si>
  <si>
    <r>
      <t>90х1500х</t>
    </r>
    <r>
      <rPr>
        <b/>
        <sz val="11"/>
        <rFont val="Times New Roman"/>
        <family val="1"/>
        <charset val="204"/>
      </rPr>
      <t>4600</t>
    </r>
  </si>
  <si>
    <t>90х1500х6000</t>
  </si>
  <si>
    <t>100х1500х4010</t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</si>
  <si>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</si>
  <si>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100х1500х</t>
    </r>
    <r>
      <rPr>
        <b/>
        <sz val="11"/>
        <rFont val="Times New Roman"/>
        <family val="1"/>
        <charset val="204"/>
      </rPr>
      <t>5210</t>
    </r>
  </si>
  <si>
    <t>ГОСТ 1577-93, 19903-2015, 1050-2013</t>
  </si>
  <si>
    <r>
      <t>110х1500х</t>
    </r>
    <r>
      <rPr>
        <b/>
        <sz val="11"/>
        <rFont val="Times New Roman"/>
        <family val="1"/>
        <charset val="204"/>
      </rPr>
      <t>230</t>
    </r>
  </si>
  <si>
    <t>ГОСТ 1577-93, 19903-2015, 1050-2013, Б, ПН, О</t>
  </si>
  <si>
    <r>
      <t>120х1500х</t>
    </r>
    <r>
      <rPr>
        <b/>
        <sz val="11"/>
        <rFont val="Times New Roman"/>
        <family val="1"/>
        <charset val="204"/>
      </rPr>
      <t>1560</t>
    </r>
  </si>
  <si>
    <t>130х1500х960</t>
  </si>
  <si>
    <t>160х1500х1950</t>
  </si>
  <si>
    <t>ГОСТ 19903-2015, 1577-93, Б, ПН, НО</t>
  </si>
  <si>
    <t>16х1500х970</t>
  </si>
  <si>
    <t>ГОСТ 19903-2015, 1577-93, Б, ПН, О</t>
  </si>
  <si>
    <t>20х1500х1680</t>
  </si>
  <si>
    <t>ГОСТ 19903-15, 1577-93, Б, ПН, О</t>
  </si>
  <si>
    <t>25х1500х1530</t>
  </si>
  <si>
    <t>45х1500х390</t>
  </si>
  <si>
    <t>50х1500х1100</t>
  </si>
  <si>
    <t>80х1500х520</t>
  </si>
  <si>
    <t>ГОСТ 1577-93, 19903-74</t>
  </si>
  <si>
    <t>4х1500х3740</t>
  </si>
  <si>
    <t>8х1500х6000</t>
  </si>
  <si>
    <t>8х1500х2290</t>
  </si>
  <si>
    <t>8х1500х1980</t>
  </si>
  <si>
    <t>10х1500х3400</t>
  </si>
  <si>
    <t>10х1500х2480</t>
  </si>
  <si>
    <t>12х1400х6000</t>
  </si>
  <si>
    <t>12х1500х3470</t>
  </si>
  <si>
    <t>14х1500х2470</t>
  </si>
  <si>
    <t>16х1500х680</t>
  </si>
  <si>
    <r>
      <t>16х1500х</t>
    </r>
    <r>
      <rPr>
        <b/>
        <sz val="11"/>
        <rFont val="Times New Roman"/>
        <family val="1"/>
        <charset val="204"/>
      </rPr>
      <t>1040</t>
    </r>
  </si>
  <si>
    <t>16х2000х570</t>
  </si>
  <si>
    <t>16х2000х6000</t>
  </si>
  <si>
    <t>20х1500х380</t>
  </si>
  <si>
    <t>20х1500х1330</t>
  </si>
  <si>
    <t>20х1500х3790</t>
  </si>
  <si>
    <t>25х1500х700</t>
  </si>
  <si>
    <t>25х1500х270</t>
  </si>
  <si>
    <r>
      <t>25х1500х</t>
    </r>
    <r>
      <rPr>
        <b/>
        <sz val="11"/>
        <rFont val="Times New Roman"/>
        <family val="1"/>
        <charset val="204"/>
      </rPr>
      <t>3000</t>
    </r>
  </si>
  <si>
    <t>30х1500х180</t>
  </si>
  <si>
    <t>30х1500х170</t>
  </si>
  <si>
    <t>30х1500х620</t>
  </si>
  <si>
    <t>36х1500х1500</t>
  </si>
  <si>
    <t>36х1500х3010</t>
  </si>
  <si>
    <t>40х1500х760</t>
  </si>
  <si>
    <r>
      <t>40х1500х1</t>
    </r>
    <r>
      <rPr>
        <b/>
        <sz val="11"/>
        <rFont val="Times New Roman"/>
        <family val="1"/>
        <charset val="204"/>
      </rPr>
      <t>480</t>
    </r>
  </si>
  <si>
    <t>45х1500х930</t>
  </si>
  <si>
    <t>45х1500х2040</t>
  </si>
  <si>
    <t>45х1500х5900</t>
  </si>
  <si>
    <t>50х1500х960</t>
  </si>
  <si>
    <t>50х1500х510</t>
  </si>
  <si>
    <r>
      <t>50х1500х</t>
    </r>
    <r>
      <rPr>
        <b/>
        <sz val="11"/>
        <rFont val="Times New Roman"/>
        <family val="1"/>
        <charset val="204"/>
      </rPr>
      <t>3000</t>
    </r>
  </si>
  <si>
    <t>60х1500х310</t>
  </si>
  <si>
    <t>60х1500х350</t>
  </si>
  <si>
    <t>60х1500х1710</t>
  </si>
  <si>
    <r>
      <t>60х1500х</t>
    </r>
    <r>
      <rPr>
        <b/>
        <sz val="11"/>
        <rFont val="Times New Roman"/>
        <family val="1"/>
        <charset val="204"/>
      </rPr>
      <t>970</t>
    </r>
  </si>
  <si>
    <t>70х1200х2330</t>
  </si>
  <si>
    <t>80х1200х740</t>
  </si>
  <si>
    <t>80х1200х560</t>
  </si>
  <si>
    <r>
      <t>80х1200х</t>
    </r>
    <r>
      <rPr>
        <b/>
        <sz val="11"/>
        <rFont val="Times New Roman"/>
        <family val="1"/>
        <charset val="204"/>
      </rPr>
      <t>2000</t>
    </r>
  </si>
  <si>
    <t>80х1500х470</t>
  </si>
  <si>
    <t>90х1500х4200</t>
  </si>
  <si>
    <t>110х550х280</t>
  </si>
  <si>
    <t>120х1500х400</t>
  </si>
  <si>
    <t>120х1500х3200</t>
  </si>
  <si>
    <r>
      <t>130х</t>
    </r>
    <r>
      <rPr>
        <b/>
        <sz val="11"/>
        <rFont val="Times New Roman"/>
        <family val="1"/>
        <charset val="204"/>
      </rPr>
      <t>584</t>
    </r>
    <r>
      <rPr>
        <b/>
        <sz val="11"/>
        <rFont val="Times New Roman"/>
        <family val="1"/>
      </rPr>
      <t>х180</t>
    </r>
  </si>
  <si>
    <t>140х70х1030</t>
  </si>
  <si>
    <t>160х1360х1190</t>
  </si>
  <si>
    <t>ГОСТ 1577-93, 19903-74, отжиг, Б-ПН-НО</t>
  </si>
  <si>
    <t>10х1000х2000</t>
  </si>
  <si>
    <t>10х1200х2000</t>
  </si>
  <si>
    <t>40Х</t>
  </si>
  <si>
    <t>12х1500х4520</t>
  </si>
  <si>
    <t>14х1500х6200</t>
  </si>
  <si>
    <t>14х1500х2500</t>
  </si>
  <si>
    <t>16х1500х1220</t>
  </si>
  <si>
    <t>16х1500х640</t>
  </si>
  <si>
    <t>20х1500х280</t>
  </si>
  <si>
    <t>20х1500х3830</t>
  </si>
  <si>
    <t>20х1500х320</t>
  </si>
  <si>
    <t>25х1500х350</t>
  </si>
  <si>
    <t>30х1500х310</t>
  </si>
  <si>
    <t>30х600х390</t>
  </si>
  <si>
    <t>30х1500х340</t>
  </si>
  <si>
    <t>36х1500х680</t>
  </si>
  <si>
    <t>36х1500х2800</t>
  </si>
  <si>
    <t>36х1500х4130</t>
  </si>
  <si>
    <t>40х1500х370</t>
  </si>
  <si>
    <t>40х1500х180</t>
  </si>
  <si>
    <t>40х810х860</t>
  </si>
  <si>
    <t>40х660х180</t>
  </si>
  <si>
    <t>40х1500х2340</t>
  </si>
  <si>
    <t>45х1500х910</t>
  </si>
  <si>
    <t>45х1500х2510</t>
  </si>
  <si>
    <t>50х1500х490</t>
  </si>
  <si>
    <t>50х340х200</t>
  </si>
  <si>
    <t>50х1500х400</t>
  </si>
  <si>
    <t>50х240х240</t>
  </si>
  <si>
    <t>50х470х160</t>
  </si>
  <si>
    <t>50х1500х570</t>
  </si>
  <si>
    <t>50х280х410</t>
  </si>
  <si>
    <t>60х1500х950</t>
  </si>
  <si>
    <t>60х1380х200</t>
  </si>
  <si>
    <t>60х1500х2420</t>
  </si>
  <si>
    <t>70х1200х760</t>
  </si>
  <si>
    <t>80х190х170</t>
  </si>
  <si>
    <t>80х720х170</t>
  </si>
  <si>
    <t>80х1200х610</t>
  </si>
  <si>
    <t>80х1200х3400</t>
  </si>
  <si>
    <t>80х1500х290</t>
  </si>
  <si>
    <t>90х1000х840</t>
  </si>
  <si>
    <t>ТУ 14-123-199-2012, 19903-2015</t>
  </si>
  <si>
    <t>90х1500х260</t>
  </si>
  <si>
    <t>90х1500х1220</t>
  </si>
  <si>
    <t>90х1500х4100</t>
  </si>
  <si>
    <t>100х1500х1520</t>
  </si>
  <si>
    <t xml:space="preserve">ГОСТ 4543-2016, ГОСТ 19903-2015,         ТУ 14-123-199-2012 </t>
  </si>
  <si>
    <t>100х1500х1160</t>
  </si>
  <si>
    <t>100х1500х300</t>
  </si>
  <si>
    <r>
      <t>1</t>
    </r>
    <r>
      <rPr>
        <b/>
        <sz val="11"/>
        <rFont val="Times New Roman"/>
        <family val="1"/>
        <charset val="204"/>
      </rPr>
      <t>00х1500х1060</t>
    </r>
  </si>
  <si>
    <t>100х1500х3800</t>
  </si>
  <si>
    <t>100х1500х3700</t>
  </si>
  <si>
    <t>09Г2С</t>
  </si>
  <si>
    <t>ГОСТ 19903-2015, 19281-2014, 22727-88</t>
  </si>
  <si>
    <t>10х2000х430</t>
  </si>
  <si>
    <t>10х490х700</t>
  </si>
  <si>
    <t>ГОСТ 19903-2015, 19281-2014</t>
  </si>
  <si>
    <t>50х1600х5500</t>
  </si>
  <si>
    <t>50х1600х6000</t>
  </si>
  <si>
    <t>Инструментальный горячекатаный металлопрокат</t>
  </si>
  <si>
    <t>У8А</t>
  </si>
  <si>
    <t>ТУ 14-132-240-2011, ГОСТ 19903-2015 отжиг</t>
  </si>
  <si>
    <t>2х1000х1900</t>
  </si>
  <si>
    <t>ТУ 14-132-240-2011</t>
  </si>
  <si>
    <t>8х1500х380</t>
  </si>
  <si>
    <t>12х1500х1670</t>
  </si>
  <si>
    <t>14х1500х1650</t>
  </si>
  <si>
    <t>14х1500х5000-6000</t>
  </si>
  <si>
    <t>ТУ 14-132-240-2021</t>
  </si>
  <si>
    <r>
      <t>16х1500х</t>
    </r>
    <r>
      <rPr>
        <b/>
        <sz val="11"/>
        <rFont val="Times New Roman"/>
        <family val="1"/>
        <charset val="204"/>
      </rPr>
      <t>400</t>
    </r>
  </si>
  <si>
    <t>16х1500х1000</t>
  </si>
  <si>
    <t>20х1500х340</t>
  </si>
  <si>
    <r>
      <t>20х1500х</t>
    </r>
    <r>
      <rPr>
        <b/>
        <sz val="11"/>
        <rFont val="Times New Roman"/>
        <family val="1"/>
        <charset val="204"/>
      </rPr>
      <t>5500</t>
    </r>
  </si>
  <si>
    <t>22х1500х3500</t>
  </si>
  <si>
    <t>25х1500х240</t>
  </si>
  <si>
    <t>25х1500х520</t>
  </si>
  <si>
    <t>25х1500х5000-6000</t>
  </si>
  <si>
    <t>30х1500х580</t>
  </si>
  <si>
    <t>40х1200-1300х780</t>
  </si>
  <si>
    <r>
      <t>50х1000-1100х</t>
    </r>
    <r>
      <rPr>
        <b/>
        <sz val="11"/>
        <rFont val="Times New Roman"/>
        <family val="1"/>
        <charset val="204"/>
      </rPr>
      <t>520</t>
    </r>
  </si>
  <si>
    <t>50х1000-1100х3500-4000</t>
  </si>
  <si>
    <r>
      <t>50х1000-1100х</t>
    </r>
    <r>
      <rPr>
        <b/>
        <sz val="11"/>
        <rFont val="Times New Roman"/>
        <family val="1"/>
        <charset val="204"/>
      </rPr>
      <t>1770</t>
    </r>
  </si>
  <si>
    <r>
      <t>60х1000-1100х</t>
    </r>
    <r>
      <rPr>
        <b/>
        <sz val="11"/>
        <rFont val="Times New Roman"/>
        <family val="1"/>
        <charset val="204"/>
      </rPr>
      <t>800</t>
    </r>
  </si>
  <si>
    <r>
      <t>60х1000-1100х</t>
    </r>
    <r>
      <rPr>
        <b/>
        <sz val="11"/>
        <rFont val="Times New Roman"/>
        <family val="1"/>
        <charset val="204"/>
      </rPr>
      <t>1040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</si>
  <si>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</si>
  <si>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70х800-900х3200-3700</t>
  </si>
  <si>
    <r>
      <t>70х800-900х</t>
    </r>
    <r>
      <rPr>
        <b/>
        <sz val="11"/>
        <rFont val="Times New Roman"/>
        <family val="1"/>
        <charset val="204"/>
      </rPr>
      <t>400-900</t>
    </r>
  </si>
  <si>
    <r>
      <t>70х800-900х</t>
    </r>
    <r>
      <rPr>
        <b/>
        <sz val="11"/>
        <rFont val="Times New Roman"/>
        <family val="1"/>
        <charset val="204"/>
      </rPr>
      <t>1700-2200</t>
    </r>
  </si>
  <si>
    <t>80х700-800х1340</t>
  </si>
  <si>
    <r>
      <t>80х700-800х</t>
    </r>
    <r>
      <rPr>
        <b/>
        <sz val="11"/>
        <rFont val="Times New Roman"/>
        <family val="1"/>
        <charset val="204"/>
      </rPr>
      <t>2100</t>
    </r>
  </si>
  <si>
    <t>90х700-800х2700-3200</t>
  </si>
  <si>
    <t>90х700-800х2360</t>
  </si>
  <si>
    <t>100х700-800х2200-2700</t>
  </si>
  <si>
    <t>100х700-800х470</t>
  </si>
  <si>
    <t>ТС 132-101-2022</t>
  </si>
  <si>
    <t>120х700-800х2200-2500</t>
  </si>
  <si>
    <t>У10А</t>
  </si>
  <si>
    <t>8х1500х1500</t>
  </si>
  <si>
    <t>25х1500х4280</t>
  </si>
  <si>
    <t>9ХС</t>
  </si>
  <si>
    <t>ГОСТ 5950-2000, ГОСТ 19903-2015</t>
  </si>
  <si>
    <t>ГОСТ 5950-2000, 19903-2015, Пр.132-146-2019, отжиг</t>
  </si>
  <si>
    <t>ГОСТ 5950-2000, 19903-2015, ТС 132-15-2022</t>
  </si>
  <si>
    <t>3,55х1100х2500</t>
  </si>
  <si>
    <t>4,05х1100х2200</t>
  </si>
  <si>
    <t>4,55х1100х2500</t>
  </si>
  <si>
    <t>5,05х1100х2200</t>
  </si>
  <si>
    <t>5,05х1100х695</t>
  </si>
  <si>
    <t>5,55х1250х2500</t>
  </si>
  <si>
    <t>6,55х1250х2500</t>
  </si>
  <si>
    <t>7,05х1100х2500</t>
  </si>
  <si>
    <t>Протокол 132-146-2019</t>
  </si>
  <si>
    <t>8х500х490</t>
  </si>
  <si>
    <t>ТС 132-15-2022</t>
  </si>
  <si>
    <t>8х1500х4000-5000</t>
  </si>
  <si>
    <t>8х1500х960</t>
  </si>
  <si>
    <t>8,05х1100х2500</t>
  </si>
  <si>
    <t>8,05х1100х2200</t>
  </si>
  <si>
    <t>12,05х1250х2500</t>
  </si>
  <si>
    <t>12х1500х2430</t>
  </si>
  <si>
    <t>14х1265х2500</t>
  </si>
  <si>
    <t>Протокол 132-15-2022</t>
  </si>
  <si>
    <t>14х1500х1980</t>
  </si>
  <si>
    <t>14х1500х740</t>
  </si>
  <si>
    <t>14х1500х3950</t>
  </si>
  <si>
    <t>20х1500х370</t>
  </si>
  <si>
    <t>ГОСТ 5950-2000</t>
  </si>
  <si>
    <t>50х610</t>
  </si>
  <si>
    <t xml:space="preserve">50х400  </t>
  </si>
  <si>
    <t>50х1000-1100х1150</t>
  </si>
  <si>
    <t>50х1000-1100х3100-3400</t>
  </si>
  <si>
    <t>55х1000-1100х1210</t>
  </si>
  <si>
    <t>55х1000-1100х380</t>
  </si>
  <si>
    <t>ТУ 0902-004-67789391-2012</t>
  </si>
  <si>
    <t>60х500</t>
  </si>
  <si>
    <t>60х610</t>
  </si>
  <si>
    <t>60х400</t>
  </si>
  <si>
    <t>60х1000-1100х70</t>
  </si>
  <si>
    <t>60х1000-1100х2800-3300</t>
  </si>
  <si>
    <t>60х1000-1100х1270</t>
  </si>
  <si>
    <t>60х1000-1100х810</t>
  </si>
  <si>
    <t>Протокол 132-126-2016</t>
  </si>
  <si>
    <t>65х1000-1100х810</t>
  </si>
  <si>
    <t>65х950-1050х2800-3100</t>
  </si>
  <si>
    <t>65х950-1050х1050</t>
  </si>
  <si>
    <t>70х610</t>
  </si>
  <si>
    <t>70х800-900х870</t>
  </si>
  <si>
    <t>70х800-900х1200-1700</t>
  </si>
  <si>
    <t>80х610</t>
  </si>
  <si>
    <t>80х700-800х160</t>
  </si>
  <si>
    <t>80х700-800х700-1200</t>
  </si>
  <si>
    <t>80х700-800х1600</t>
  </si>
  <si>
    <t>90х700-800х2430</t>
  </si>
  <si>
    <t>90х700-800х500</t>
  </si>
  <si>
    <t>100х700-800х370</t>
  </si>
  <si>
    <t>100х410х120</t>
  </si>
  <si>
    <t>100х700-800х1375</t>
  </si>
  <si>
    <t>100х700-800х830</t>
  </si>
  <si>
    <t>Протокол 132-245-2020</t>
  </si>
  <si>
    <t>120х700-800х2000-2500</t>
  </si>
  <si>
    <t>120х700-800х480</t>
  </si>
  <si>
    <t>9ХФ</t>
  </si>
  <si>
    <t>ТУ 14-1-795-2004, 19903-2015</t>
  </si>
  <si>
    <t>8х1500х5000-6000</t>
  </si>
  <si>
    <t>12х1500х2460</t>
  </si>
  <si>
    <t>ХВГ</t>
  </si>
  <si>
    <t>Протокол 132-50-2019</t>
  </si>
  <si>
    <t>Протокол 132-257-2020</t>
  </si>
  <si>
    <t>6х1450х6000</t>
  </si>
  <si>
    <t>6х1500х430</t>
  </si>
  <si>
    <t>6х1500х630</t>
  </si>
  <si>
    <t>ГОСТ 5950-2000, ГОСТ 4405-75</t>
  </si>
  <si>
    <t>10х610</t>
  </si>
  <si>
    <t>14х610</t>
  </si>
  <si>
    <t>14х1500х390</t>
  </si>
  <si>
    <t>16х610</t>
  </si>
  <si>
    <t>20х510</t>
  </si>
  <si>
    <t>25х610</t>
  </si>
  <si>
    <t>25х1500х4060</t>
  </si>
  <si>
    <t>30х510</t>
  </si>
  <si>
    <t>30х610</t>
  </si>
  <si>
    <t>35х1200-1300х1700</t>
  </si>
  <si>
    <t>ГОСТ 5950-2000, ГОСТ 8479-70</t>
  </si>
  <si>
    <t>40х610</t>
  </si>
  <si>
    <t>45х1000-1100х2290</t>
  </si>
  <si>
    <t>50х510</t>
  </si>
  <si>
    <t>50х1000-1100х1920</t>
  </si>
  <si>
    <t>55х610</t>
  </si>
  <si>
    <t>55х1000-1100х3000-3600</t>
  </si>
  <si>
    <t>60х85х1500</t>
  </si>
  <si>
    <t>65х610</t>
  </si>
  <si>
    <t>90х700-800х1090</t>
  </si>
  <si>
    <t>Протокол 132-88-2018</t>
  </si>
  <si>
    <t>100х500х370</t>
  </si>
  <si>
    <t>100х500х950</t>
  </si>
  <si>
    <t>120х510</t>
  </si>
  <si>
    <t>6ХВ2С</t>
  </si>
  <si>
    <t>ТС 132-60-2022,  5950-2000, 19903-2015</t>
  </si>
  <si>
    <t>30х1500х270</t>
  </si>
  <si>
    <t>Коррозийно-стойкий металлопрокат</t>
  </si>
  <si>
    <t xml:space="preserve">09Х16Н4Б-Ш </t>
  </si>
  <si>
    <t>ГОСТ 7350-77, 19903-2015, отж., травл.</t>
  </si>
  <si>
    <t>Нержавеющий металлопрокат</t>
  </si>
  <si>
    <t>40Х13</t>
  </si>
  <si>
    <t>ГОСТ 5632-2014</t>
  </si>
  <si>
    <t>3х1263х2000</t>
  </si>
  <si>
    <t>5х1260х4000</t>
  </si>
  <si>
    <t>5х1260х1380</t>
  </si>
  <si>
    <t>6х1260х2000</t>
  </si>
  <si>
    <t>6х1266х4000</t>
  </si>
  <si>
    <t>6х1266х1070</t>
  </si>
  <si>
    <t>6х1266х2690</t>
  </si>
  <si>
    <t>8х1265х4000</t>
  </si>
  <si>
    <t>8х1265х3470</t>
  </si>
  <si>
    <t>9х1266х4000</t>
  </si>
  <si>
    <t>9х1266х1290</t>
  </si>
  <si>
    <t>10х1266х4000</t>
  </si>
  <si>
    <t>10х1266х2380</t>
  </si>
  <si>
    <t>ГОСТ 5632-72, 4405-75</t>
  </si>
  <si>
    <t>12х610</t>
  </si>
  <si>
    <t>20х610</t>
  </si>
  <si>
    <t>42х610</t>
  </si>
  <si>
    <t>ТУ 14-132-208-2020, 19903-2015 М5г, НО, отжиг б/травл.</t>
  </si>
  <si>
    <t>50х900-1000х2200-2800</t>
  </si>
  <si>
    <t>50х900-1000х360</t>
  </si>
  <si>
    <t>71х810</t>
  </si>
  <si>
    <t>81х610</t>
  </si>
  <si>
    <t>82х610</t>
  </si>
  <si>
    <t>Сталь электротехническая нелегированная</t>
  </si>
  <si>
    <t>ГОСТ 19904-90, 3836-83 БТ, травл., О</t>
  </si>
  <si>
    <t>Круги, полосы, поковки</t>
  </si>
  <si>
    <t>ШХ15-В</t>
  </si>
  <si>
    <t>ГОСТ 801,2590,г/о,т/о,н/д</t>
  </si>
  <si>
    <t>ШХ15-Ш</t>
  </si>
  <si>
    <t>ГОСТ 801-78, 2590-2006</t>
  </si>
  <si>
    <t>ШХ15СГ-Ш</t>
  </si>
  <si>
    <t>ШХ15СГ</t>
  </si>
  <si>
    <t>ГОСТ 801-78, ГОСТ 8479-70</t>
  </si>
  <si>
    <t>ГОСТ 14959, 2590, В1, 2ГП, 4А</t>
  </si>
  <si>
    <t>ГОСТ 14959, 2590, В1, 3ГП, КМС2-4А</t>
  </si>
  <si>
    <t>ГОСТ 8560-78, ТУ 14-1-950-86</t>
  </si>
  <si>
    <t>калиб.шгр. 5,5</t>
  </si>
  <si>
    <t>ГОСТ 4543-2015, ГОСТ 2590-2006</t>
  </si>
  <si>
    <t>ГОСТ 4543-2016,  2590-2006, В1, 2ГП</t>
  </si>
  <si>
    <t>38ХА</t>
  </si>
  <si>
    <t>ГОСТ 4543, 2590</t>
  </si>
  <si>
    <t>12Х18Н10Т</t>
  </si>
  <si>
    <t>ГОСТ 2590-2006,  5949-2018</t>
  </si>
  <si>
    <t>ГОСТ 14955-77, 5950,гр.В,h9,т/о,н/д</t>
  </si>
  <si>
    <t>сер. 4,0</t>
  </si>
  <si>
    <t>ГОСТ 5950-2000, ГОСТ 2590-2006</t>
  </si>
  <si>
    <t>3Х2В8Ф</t>
  </si>
  <si>
    <t>ТУ 14-1-5243, ГОСТ 1133</t>
  </si>
  <si>
    <t>3Х2В8Ф-Ш</t>
  </si>
  <si>
    <t>150х610</t>
  </si>
  <si>
    <t>4Х5МФС</t>
  </si>
  <si>
    <t>4Х5МФС-Ш</t>
  </si>
  <si>
    <t>25х800</t>
  </si>
  <si>
    <t>ГОСТ 4405, отж, 2ГП, подгр.а</t>
  </si>
  <si>
    <t>30х40</t>
  </si>
  <si>
    <t>30х800</t>
  </si>
  <si>
    <t>35х610</t>
  </si>
  <si>
    <t>ГОСТ 5950, 8479-70</t>
  </si>
  <si>
    <t>70х120х300</t>
  </si>
  <si>
    <t>75х610</t>
  </si>
  <si>
    <t>ГОСТ 5950, 4405</t>
  </si>
  <si>
    <t>80х500</t>
  </si>
  <si>
    <t>90х810х730</t>
  </si>
  <si>
    <t>90х335</t>
  </si>
  <si>
    <t>90х470</t>
  </si>
  <si>
    <t>100х610</t>
  </si>
  <si>
    <t>110х610</t>
  </si>
  <si>
    <t>50х240</t>
  </si>
  <si>
    <t>120х610</t>
  </si>
  <si>
    <t>120х110</t>
  </si>
  <si>
    <t>120х160</t>
  </si>
  <si>
    <t>130х610</t>
  </si>
  <si>
    <t>130х110</t>
  </si>
  <si>
    <t>140х610</t>
  </si>
  <si>
    <t>140х110</t>
  </si>
  <si>
    <t>140х160</t>
  </si>
  <si>
    <t>160х610</t>
  </si>
  <si>
    <t>4Х5МФ1С</t>
  </si>
  <si>
    <t>135х530</t>
  </si>
  <si>
    <t>4Х4ВМФС</t>
  </si>
  <si>
    <t>4Х5В2ФС-Ш</t>
  </si>
  <si>
    <t>4Х5В2ФС</t>
  </si>
  <si>
    <t>300х610</t>
  </si>
  <si>
    <t>320х250</t>
  </si>
  <si>
    <t>18х610</t>
  </si>
  <si>
    <t>35х280х110</t>
  </si>
  <si>
    <t>40х460</t>
  </si>
  <si>
    <t>45х610</t>
  </si>
  <si>
    <t>45х370</t>
  </si>
  <si>
    <t>50х230х130</t>
  </si>
  <si>
    <t>47х205х520</t>
  </si>
  <si>
    <t>47х110х720</t>
  </si>
  <si>
    <t>47х23х720</t>
  </si>
  <si>
    <t>45х138х1250</t>
  </si>
  <si>
    <t>55х315</t>
  </si>
  <si>
    <t>60х105</t>
  </si>
  <si>
    <t>62х200х1000</t>
  </si>
  <si>
    <t>ГОСТ 5950-2000, кованые</t>
  </si>
  <si>
    <t>ГОСТ 5950-2000 / 2590-2006</t>
  </si>
  <si>
    <t>ГОСТ 5950-2000 / 2590-2007</t>
  </si>
  <si>
    <t>ТУ 14-1-1530, ГОСТ 5950</t>
  </si>
  <si>
    <t>ГОСТ 5950-2000, 2590-2006, 21120-75</t>
  </si>
  <si>
    <t>Х12МФ</t>
  </si>
  <si>
    <t>ГОСТ 5950-2000, ГОСТ 1133-71</t>
  </si>
  <si>
    <t>1,5х800 х/к</t>
  </si>
  <si>
    <t>2х800 х/к</t>
  </si>
  <si>
    <t>2,5х800 х/к</t>
  </si>
  <si>
    <t>3х800 х/к</t>
  </si>
  <si>
    <t>3,5х800 х/к</t>
  </si>
  <si>
    <t>4х800</t>
  </si>
  <si>
    <t>4,5х800</t>
  </si>
  <si>
    <t>5х800</t>
  </si>
  <si>
    <t>5,5х800</t>
  </si>
  <si>
    <t>6х800</t>
  </si>
  <si>
    <t>8х800</t>
  </si>
  <si>
    <t>8х610</t>
  </si>
  <si>
    <t xml:space="preserve">10х610 </t>
  </si>
  <si>
    <t>20х605</t>
  </si>
  <si>
    <t xml:space="preserve">20х610 </t>
  </si>
  <si>
    <t>30х150</t>
  </si>
  <si>
    <t>30х50-53</t>
  </si>
  <si>
    <t xml:space="preserve">36х610                                    </t>
  </si>
  <si>
    <t xml:space="preserve">40х400 </t>
  </si>
  <si>
    <t>45х605</t>
  </si>
  <si>
    <t>70х380</t>
  </si>
  <si>
    <t>80х300х310</t>
  </si>
  <si>
    <t>85х610</t>
  </si>
  <si>
    <t>90х610</t>
  </si>
  <si>
    <t>90х240х370</t>
  </si>
  <si>
    <t>100х50-57</t>
  </si>
  <si>
    <t>200х610</t>
  </si>
  <si>
    <t>300х300</t>
  </si>
  <si>
    <t>Х12Ф1</t>
  </si>
  <si>
    <t>Р6М5</t>
  </si>
  <si>
    <t>ГОСТ 14955,19265,гр.В,h9,т/о,н/д</t>
  </si>
  <si>
    <t>сер. 5,0</t>
  </si>
  <si>
    <t>ГОСТ 2590, 19265</t>
  </si>
  <si>
    <t>Р6М5К5</t>
  </si>
  <si>
    <t>сер. 3,4</t>
  </si>
  <si>
    <t>сер. 4,4</t>
  </si>
  <si>
    <t>сер. 5,3</t>
  </si>
  <si>
    <t>сер. 6,0</t>
  </si>
  <si>
    <t>Р18</t>
  </si>
  <si>
    <t>сер. 5,5</t>
  </si>
  <si>
    <t>сер. 9,0</t>
  </si>
  <si>
    <t>ГОСТ 19265,  103-2006</t>
  </si>
  <si>
    <t>20х47</t>
  </si>
  <si>
    <t>Р18-Ш</t>
  </si>
  <si>
    <t>ГОСТ 19265-73, 1133-71</t>
  </si>
  <si>
    <t>Р9К5</t>
  </si>
  <si>
    <t>ГОСТ 19265, 2590</t>
  </si>
  <si>
    <t>Р9К5-Ш</t>
  </si>
  <si>
    <t>ГОСТ 19265, 1133</t>
  </si>
  <si>
    <t>Р9М4К8</t>
  </si>
  <si>
    <t>ГОСТ 2590, 535-2006</t>
  </si>
  <si>
    <t>Ст25</t>
  </si>
  <si>
    <t>ГОСТ 2590,1050</t>
  </si>
  <si>
    <t>ГОСТ 2590-2006,1050</t>
  </si>
  <si>
    <t>Ст45</t>
  </si>
  <si>
    <t>ГОСТ 7417-75, 1050-2013, 1051-73</t>
  </si>
  <si>
    <t>калибр. 14</t>
  </si>
  <si>
    <t xml:space="preserve">ГОСТ 1050, 103  </t>
  </si>
  <si>
    <t>32х40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</si>
</sst>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,\ yyyy"/>
    <numFmt numFmtId="165" formatCode="#,##0.0000"/>
    <numFmt numFmtId="166" formatCode="0.0000"/>
  </numFmts>
  <fonts count="1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7" fillId="0" borderId="0"/>
    <xf numFmtId="0" fontId="1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8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8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0" borderId="1" xfId="8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6" fontId="3" fillId="0" borderId="10" xfId="8" applyNumberFormat="1" applyFont="1" applyBorder="1" applyAlignment="1">
      <alignment horizontal="center" vertical="center" wrapText="1"/>
    </xf>
    <xf numFmtId="166" fontId="3" fillId="5" borderId="10" xfId="8" applyNumberFormat="1" applyFont="1" applyFill="1" applyBorder="1" applyAlignment="1">
      <alignment horizontal="center" vertical="center" wrapText="1"/>
    </xf>
    <xf numFmtId="166" fontId="3" fillId="5" borderId="10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 wrapText="1"/>
    </xf>
    <xf numFmtId="166" fontId="4" fillId="5" borderId="10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5" borderId="10" xfId="0" applyNumberFormat="1" applyFont="1" applyFill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3" fillId="5" borderId="11" xfId="0" applyNumberFormat="1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10" fillId="4" borderId="12" xfId="8" applyNumberFormat="1" applyFont="1" applyFill="1" applyBorder="1" applyAlignment="1">
      <alignment horizontal="center" vertical="center" wrapText="1"/>
    </xf>
    <xf numFmtId="164" fontId="10" fillId="4" borderId="13" xfId="8" applyNumberFormat="1" applyFont="1" applyFill="1" applyBorder="1" applyAlignment="1">
      <alignment horizontal="center" vertical="center" wrapText="1"/>
    </xf>
    <xf numFmtId="164" fontId="10" fillId="4" borderId="14" xfId="8" applyNumberFormat="1" applyFont="1" applyFill="1" applyBorder="1" applyAlignment="1">
      <alignment horizontal="center" vertical="center" wrapText="1"/>
    </xf>
    <xf numFmtId="0" fontId="3" fillId="3" borderId="7" xfId="8" applyFont="1" applyFill="1" applyBorder="1" applyAlignment="1">
      <alignment horizontal="center" vertical="center" wrapText="1"/>
    </xf>
    <xf numFmtId="0" fontId="0" fillId="0" borderId="5" xfId="0" applyBorder="1"/>
    <xf numFmtId="0" fontId="3" fillId="3" borderId="3" xfId="8" applyFont="1" applyFill="1" applyBorder="1" applyAlignment="1">
      <alignment horizontal="center" vertical="center" wrapText="1"/>
    </xf>
    <xf numFmtId="0" fontId="0" fillId="0" borderId="6" xfId="0" applyBorder="1"/>
    <xf numFmtId="0" fontId="3" fillId="3" borderId="6" xfId="8" applyFont="1" applyFill="1" applyBorder="1" applyAlignment="1">
      <alignment horizontal="center" vertical="center" wrapText="1"/>
    </xf>
    <xf numFmtId="166" fontId="3" fillId="3" borderId="8" xfId="8" applyNumberFormat="1" applyFont="1" applyFill="1" applyBorder="1" applyAlignment="1">
      <alignment horizontal="center" vertical="center" wrapText="1"/>
    </xf>
    <xf numFmtId="166" fontId="3" fillId="3" borderId="9" xfId="8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3" xfId="4" xr:uid="{00000000-0005-0000-0000-000004000000}"/>
    <cellStyle name="Обычный 3 2" xfId="5" xr:uid="{00000000-0005-0000-0000-000005000000}"/>
    <cellStyle name="Обычный 4" xfId="6" xr:uid="{00000000-0005-0000-0000-000006000000}"/>
    <cellStyle name="Обычный 5" xfId="7" xr:uid="{00000000-0005-0000-0000-000007000000}"/>
    <cellStyle name="Обычный_август" xfId="8" xr:uid="{00000000-0005-0000-0000-000008000000}"/>
    <cellStyle name="Процентный 2" xfId="9" xr:uid="{00000000-0005-0000-0000-000009000000}"/>
    <cellStyle name="Стиль 1" xfId="10" xr:uid="{00000000-0005-0000-0000-00000A000000}"/>
    <cellStyle name="Excel Built-in 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3DDF-1BCE-4F10-B83E-5232B24BC2C3}">
  <dimension ref="A1:E972"/>
  <sheetViews>
    <sheetView tabSelected="1" workbookViewId="0">
      <selection activeCell="C8" sqref="C8"/>
    </sheetView>
  </sheetViews>
  <sheetFormatPr baseColWidth="10" defaultColWidth="8.83203125" defaultRowHeight="13"/>
  <cols>
    <col min="1" max="2" width="35.6640625" customWidth="1"/>
    <col min="3" max="3" width="27.5" customWidth="1"/>
    <col min="4" max="4" width="27" customWidth="1"/>
    <col min="5" max="5" width="27.6640625" customWidth="1"/>
  </cols>
  <sheetData>
    <row r="1" spans="1:5" ht="18">
      <c r="A1" s="36" t="s">
        <v>0</v>
      </c>
      <c r="B1" s="36"/>
      <c r="C1" s="36"/>
      <c r="D1" s="36"/>
      <c r="E1" s="36"/>
    </row>
    <row r="2" spans="1:5" ht="18">
      <c r="A2" s="36" t="s">
        <v>1</v>
      </c>
      <c r="B2" s="36"/>
      <c r="C2" s="36"/>
      <c r="D2" s="36"/>
      <c r="E2" s="36"/>
    </row>
    <row r="3" spans="1:5" ht="18">
      <c r="A3" s="36" t="s">
        <v>2</v>
      </c>
      <c r="B3" s="36"/>
      <c r="C3" s="36"/>
      <c r="D3" s="36"/>
      <c r="E3" s="36"/>
    </row>
    <row r="4" spans="1:5" ht="14">
      <c r="A4" s="7"/>
      <c r="B4" s="7"/>
      <c r="C4" s="7"/>
      <c r="D4" s="7"/>
      <c r="E4" s="18"/>
    </row>
    <row r="5" spans="1:5" ht="23">
      <c r="A5" s="37" t="s">
        <v>3</v>
      </c>
      <c r="B5" s="38"/>
      <c r="C5" s="38"/>
      <c r="D5" s="38"/>
      <c r="E5" s="39"/>
    </row>
    <row r="6" spans="1:5">
      <c r="A6" s="40" t="s">
        <v>4</v>
      </c>
      <c r="B6" s="42" t="s">
        <v>5</v>
      </c>
      <c r="C6" s="42" t="s">
        <v>6</v>
      </c>
      <c r="D6" s="42" t="s">
        <v>7</v>
      </c>
      <c r="E6" s="45" t="s">
        <v>8</v>
      </c>
    </row>
    <row r="7" spans="1:5">
      <c r="A7" s="41"/>
      <c r="B7" s="43"/>
      <c r="C7" s="43"/>
      <c r="D7" s="44"/>
      <c r="E7" s="46"/>
    </row>
    <row r="8" spans="1:5" ht="34">
      <c r="A8" s="34" t="s">
        <v>9</v>
      </c>
      <c r="B8" s="5" t="s">
        <v>10</v>
      </c>
      <c r="C8" s="5" t="s">
        <v>11</v>
      </c>
      <c r="D8" s="14" t="s">
        <v>12</v>
      </c>
      <c r="E8" s="22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34" t="s">
        <v>9</v>
      </c>
      <c r="B9" s="5" t="s">
        <v>10</v>
      </c>
      <c r="C9" s="5" t="s">
        <v>11</v>
      </c>
      <c r="D9" s="14" t="s">
        <v>12</v>
      </c>
      <c r="E9" s="22">
        <f>9.56-0.012-0.102-0.301-0.004-0.004-0.008-0.04-0.5-0.04-0.235-0.004-0.012-0.012-0.012-0.012-0.004-0.012-0.03-0.004-0.004-0.121-0.004-0.004-0.067-0.004-0.024-0.012-0.004-0.004-0.004-0.04-0.008-0.004-0.004-0.024-0.049-0.004-0.04-0.004-0.3-0.004-0.498-0.02-0.004</f>
        <v>6.9570000000000087</v>
      </c>
    </row>
    <row r="10" spans="1:5" ht="34">
      <c r="A10" s="34" t="s">
        <v>9</v>
      </c>
      <c r="B10" s="5" t="s">
        <v>10</v>
      </c>
      <c r="C10" s="5" t="s">
        <v>11</v>
      </c>
      <c r="D10" s="14" t="s">
        <v>12</v>
      </c>
      <c r="E10" s="22">
        <f>1.885</f>
        <v>1.885</v>
      </c>
    </row>
    <row r="11" spans="1:5" ht="34">
      <c r="A11" s="34" t="s">
        <v>9</v>
      </c>
      <c r="B11" s="5" t="s">
        <v>10</v>
      </c>
      <c r="C11" s="5" t="s">
        <v>11</v>
      </c>
      <c r="D11" s="14" t="s">
        <v>12</v>
      </c>
      <c r="E11" s="22">
        <f>0.996</f>
        <v>0.996</v>
      </c>
    </row>
    <row r="12" spans="1:5" ht="34">
      <c r="A12" s="34" t="s">
        <v>9</v>
      </c>
      <c r="B12" s="5" t="s">
        <v>10</v>
      </c>
      <c r="C12" s="5" t="s">
        <v>13</v>
      </c>
      <c r="D12" s="14" t="s">
        <v>14</v>
      </c>
      <c r="E12" s="23">
        <f>9.03-0.01-0.203-0.025-0.01-0.01-0.049-0.005-0.005-0.035-0.005-0.098-0.005-0.025-0.053-0.502-0.005-0.3-0.4-0.02-0.015-0.01-0.072-0.048-0.01-0.232-0.3-0.4-0.005-1.202</f>
        <v>4.9709999999999965</v>
      </c>
    </row>
    <row r="13" spans="1:5" ht="34">
      <c r="A13" s="34" t="s">
        <v>9</v>
      </c>
      <c r="B13" s="5" t="s">
        <v>10</v>
      </c>
      <c r="C13" s="5" t="s">
        <v>15</v>
      </c>
      <c r="D13" s="14" t="s">
        <v>16</v>
      </c>
      <c r="E13" s="23">
        <f>0.651-0.434-0.217+0.03</f>
        <v>3.0000000000000027E-2</v>
      </c>
    </row>
    <row r="14" spans="1:5" ht="34">
      <c r="A14" s="34" t="s">
        <v>9</v>
      </c>
      <c r="B14" s="5" t="s">
        <v>10</v>
      </c>
      <c r="C14" s="5" t="s">
        <v>17</v>
      </c>
      <c r="D14" s="14" t="s">
        <v>16</v>
      </c>
      <c r="E14" s="23">
        <f>10.316-0.012-0.018-2.5-1-0.498-0.088-0.012-0.006-0.301-0.012-0.048-0.064-1-0.006-0.192-0.042-0.083-0.131-0.131-1-0.03-0.137-0.299-0.104-0.006-0.024-0.006-0.148-0.006-0.024-0.006-1.192-0.006-0.012-0.006-0.748-0.03-0.018-0.03-0.055-0.03-0.03</f>
        <v>0.22499999999999967</v>
      </c>
    </row>
    <row r="15" spans="1:5" ht="34">
      <c r="A15" s="34" t="s">
        <v>9</v>
      </c>
      <c r="B15" s="5" t="s">
        <v>10</v>
      </c>
      <c r="C15" s="5" t="s">
        <v>17</v>
      </c>
      <c r="D15" s="14" t="s">
        <v>16</v>
      </c>
      <c r="E15" s="23">
        <f>5.37</f>
        <v>5.37</v>
      </c>
    </row>
    <row r="16" spans="1:5" ht="34">
      <c r="A16" s="34" t="s">
        <v>9</v>
      </c>
      <c r="B16" s="5" t="s">
        <v>10</v>
      </c>
      <c r="C16" s="5" t="s">
        <v>17</v>
      </c>
      <c r="D16" s="14" t="s">
        <v>16</v>
      </c>
      <c r="E16" s="23">
        <f>4.918</f>
        <v>4.9180000000000001</v>
      </c>
    </row>
    <row r="17" spans="1:5" ht="34">
      <c r="A17" s="34" t="s">
        <v>9</v>
      </c>
      <c r="B17" s="5" t="s">
        <v>10</v>
      </c>
      <c r="C17" s="5" t="s">
        <v>17</v>
      </c>
      <c r="D17" s="14" t="s">
        <v>18</v>
      </c>
      <c r="E17" s="23">
        <f>19.432-1.004-1.004-1.204-2.996-3-0.206-0.014-0.035-6.003-0.24-1.2-0.8-0.035-0.206-0.082-0.014-0.035-0.035-0.014-0.206-0.21-0.035-0.014-0.007-0.028-0.049-0.007-0.042-0.07-0.055-0.3-0.014-0.035-0.014</f>
        <v>0.21899999999999528</v>
      </c>
    </row>
    <row r="18" spans="1:5" ht="34">
      <c r="A18" s="34" t="s">
        <v>9</v>
      </c>
      <c r="B18" s="5" t="s">
        <v>10</v>
      </c>
      <c r="C18" s="5" t="s">
        <v>19</v>
      </c>
      <c r="D18" s="14" t="s">
        <v>20</v>
      </c>
      <c r="E18" s="23">
        <f>4.99-0.019-1.004-0.019-0.038-0.019-0.019-0.019-0.114-0.019-0.948-0.019-0.19-0.04-0.076-0.095-0.153-1-0.115</f>
        <v>1.0839999999999994</v>
      </c>
    </row>
    <row r="19" spans="1:5" ht="34">
      <c r="A19" s="34" t="s">
        <v>9</v>
      </c>
      <c r="B19" s="5" t="s">
        <v>10</v>
      </c>
      <c r="C19" s="5" t="s">
        <v>19</v>
      </c>
      <c r="D19" s="14" t="s">
        <v>20</v>
      </c>
      <c r="E19" s="23">
        <f>14.11-1.592-12</f>
        <v>0.51799999999999891</v>
      </c>
    </row>
    <row r="20" spans="1:5" ht="34">
      <c r="A20" s="34" t="s">
        <v>9</v>
      </c>
      <c r="B20" s="5" t="s">
        <v>10</v>
      </c>
      <c r="C20" s="5" t="s">
        <v>17</v>
      </c>
      <c r="D20" s="8" t="s">
        <v>21</v>
      </c>
      <c r="E20" s="24">
        <f>10.074-0.091-0.307-0.009-0.009-0.107-1.505-0.121-0.223-0.108-0.009-0.107-0.009-0.009-0.036-0.036-0.298-1.5-0.542-0.036-0.036-0.108-0.045-0.009-0.018-0.207-0.083-0.009-0.163-0.009-0.09-0.045-0.045-0.313</f>
        <v>3.8319999999999994</v>
      </c>
    </row>
    <row r="21" spans="1:5" ht="34">
      <c r="A21" s="34" t="s">
        <v>9</v>
      </c>
      <c r="B21" s="5" t="s">
        <v>10</v>
      </c>
      <c r="C21" s="5" t="s">
        <v>17</v>
      </c>
      <c r="D21" s="14" t="s">
        <v>22</v>
      </c>
      <c r="E21" s="23">
        <f>20.382-1.851-1.006-3.704-3.682-1.874-1.851-1.998-0.062-0.032-1.997-0.033-0.219-0.011-0.301-0.229-1.506</f>
        <v>2.6000000000000245E-2</v>
      </c>
    </row>
    <row r="22" spans="1:5" ht="34">
      <c r="A22" s="34" t="s">
        <v>9</v>
      </c>
      <c r="B22" s="5" t="s">
        <v>10</v>
      </c>
      <c r="C22" s="5" t="s">
        <v>17</v>
      </c>
      <c r="D22" s="14" t="s">
        <v>22</v>
      </c>
      <c r="E22" s="23">
        <f>17.196-3.884-3.812-0.994-3.808-0.072-0.3-1.898-0.011-0.103-0.044-0.011</f>
        <v>2.2590000000000021</v>
      </c>
    </row>
    <row r="23" spans="1:5" ht="34">
      <c r="A23" s="34" t="s">
        <v>9</v>
      </c>
      <c r="B23" s="5" t="s">
        <v>10</v>
      </c>
      <c r="C23" s="5" t="s">
        <v>19</v>
      </c>
      <c r="D23" s="14" t="s">
        <v>23</v>
      </c>
      <c r="E23" s="23">
        <f>28.04-3.84-0.029-1.003-0.686-0.198-0.315-0.029-1-0.086-0.029-0.029-0.143-0.029-1.001-0.172-0.06-0.056-0.06-0.229-0.49-0.457-0.029</f>
        <v>18.07</v>
      </c>
    </row>
    <row r="24" spans="1:5" ht="34">
      <c r="A24" s="34" t="s">
        <v>9</v>
      </c>
      <c r="B24" s="5" t="s">
        <v>10</v>
      </c>
      <c r="C24" s="5" t="s">
        <v>17</v>
      </c>
      <c r="D24" s="14" t="s">
        <v>24</v>
      </c>
      <c r="E24" s="22">
        <f>2.048-0.253-0.099-0.036-0.056-0.048-0.059-0.012-0.048-0.024-0.036-0.012-0.012-0.012-0.012-0.12-0.012-0.11-0.036-0.036-0.022-0.024-0.11-0.055-0.165-0.012-0.055-0.012-0.012-0.012-0.012-0.012-0.11-0.012-0.296-0.024-0.048-0.012</f>
        <v>9.999999999999256E-3</v>
      </c>
    </row>
    <row r="25" spans="1:5" ht="34">
      <c r="A25" s="34" t="s">
        <v>9</v>
      </c>
      <c r="B25" s="5" t="s">
        <v>10</v>
      </c>
      <c r="C25" s="5" t="s">
        <v>25</v>
      </c>
      <c r="D25" s="14" t="s">
        <v>24</v>
      </c>
      <c r="E25" s="22">
        <f>2.874-0.208-0.166-0.012-0.048-0.024-0.077-0.055</f>
        <v>2.2839999999999998</v>
      </c>
    </row>
    <row r="26" spans="1:5" ht="34">
      <c r="A26" s="34" t="s">
        <v>9</v>
      </c>
      <c r="B26" s="5" t="s">
        <v>10</v>
      </c>
      <c r="C26" s="5" t="s">
        <v>17</v>
      </c>
      <c r="D26" s="8" t="s">
        <v>26</v>
      </c>
      <c r="E26" s="24">
        <f>15.996-2-0.014-3.506-0.014-0.279-2.345-0.15-0.306-0.042-0.056-0.028-4.04-1.969-0.028-0.302-0.014</f>
        <v>0.90300000000000091</v>
      </c>
    </row>
    <row r="27" spans="1:5" ht="34">
      <c r="A27" s="34" t="s">
        <v>9</v>
      </c>
      <c r="B27" s="5" t="s">
        <v>10</v>
      </c>
      <c r="C27" s="5" t="s">
        <v>19</v>
      </c>
      <c r="D27" s="14" t="s">
        <v>27</v>
      </c>
      <c r="E27" s="23">
        <f>21.36-4.56-0.115-0.116-1.987-0.117-1.99-0.077-0.04-0.04-3.012-0.191-0.038-0.383-0.04-0.154-0.38-0.08-0.5-0.08-0.076-0.115</f>
        <v>7.2690000000000028</v>
      </c>
    </row>
    <row r="28" spans="1:5" ht="34">
      <c r="A28" s="34" t="s">
        <v>9</v>
      </c>
      <c r="B28" s="1" t="s">
        <v>10</v>
      </c>
      <c r="C28" s="5" t="s">
        <v>25</v>
      </c>
      <c r="D28" s="8" t="s">
        <v>28</v>
      </c>
      <c r="E28" s="25">
        <f>8.376-0.052-0.5-0.036-0.018-0.206-0.018-0.71-0.121-0.208-0.036-0.018-0.018-0.209-0.209-0.051</f>
        <v>5.9660000000000011</v>
      </c>
    </row>
    <row r="29" spans="1:5" ht="34">
      <c r="A29" s="34" t="s">
        <v>9</v>
      </c>
      <c r="B29" s="5" t="s">
        <v>10</v>
      </c>
      <c r="C29" s="9" t="s">
        <v>29</v>
      </c>
      <c r="D29" s="8" t="s">
        <v>30</v>
      </c>
      <c r="E29" s="26">
        <f>0.664-0.132-0.022-0.31-0.167-0.022</f>
        <v>1.1000000000000003E-2</v>
      </c>
    </row>
    <row r="30" spans="1:5" ht="34">
      <c r="A30" s="34" t="s">
        <v>9</v>
      </c>
      <c r="B30" s="5" t="s">
        <v>10</v>
      </c>
      <c r="C30" s="9" t="s">
        <v>29</v>
      </c>
      <c r="D30" s="8" t="s">
        <v>31</v>
      </c>
      <c r="E30" s="26">
        <f>0.407-0.033-0.011-0.044-0.011-0.011-0.011-0.022-0.011-0.011-0.011-0.021-0.011-0.011-0.011+0.027</f>
        <v>0.2039999999999999</v>
      </c>
    </row>
    <row r="31" spans="1:5" ht="34">
      <c r="A31" s="34" t="s">
        <v>9</v>
      </c>
      <c r="B31" s="5" t="s">
        <v>10</v>
      </c>
      <c r="C31" s="5" t="s">
        <v>25</v>
      </c>
      <c r="D31" s="8" t="s">
        <v>30</v>
      </c>
      <c r="E31" s="26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2" spans="1:5" ht="34">
      <c r="A32" s="34" t="s">
        <v>9</v>
      </c>
      <c r="B32" s="5" t="s">
        <v>10</v>
      </c>
      <c r="C32" s="5" t="s">
        <v>17</v>
      </c>
      <c r="D32" s="8" t="s">
        <v>30</v>
      </c>
      <c r="E32" s="24">
        <f>3.968-0.854-1.986-0.021-0.104-0.437-0.104-0.022-0.022-0.022</f>
        <v>0.3959999999999998</v>
      </c>
    </row>
    <row r="33" spans="1:5" ht="34">
      <c r="A33" s="34" t="s">
        <v>9</v>
      </c>
      <c r="B33" s="5" t="s">
        <v>10</v>
      </c>
      <c r="C33" s="5" t="s">
        <v>17</v>
      </c>
      <c r="D33" s="8" t="s">
        <v>30</v>
      </c>
      <c r="E33" s="24">
        <f>1.952</f>
        <v>1.952</v>
      </c>
    </row>
    <row r="34" spans="1:5" ht="34">
      <c r="A34" s="34" t="s">
        <v>9</v>
      </c>
      <c r="B34" s="1" t="s">
        <v>32</v>
      </c>
      <c r="C34" s="5" t="s">
        <v>33</v>
      </c>
      <c r="D34" s="6" t="s">
        <v>12</v>
      </c>
      <c r="E34" s="25">
        <f>2.984-0.199-0.004-0.201</f>
        <v>2.58</v>
      </c>
    </row>
    <row r="35" spans="1:5" ht="34">
      <c r="A35" s="34" t="s">
        <v>9</v>
      </c>
      <c r="B35" s="10" t="s">
        <v>32</v>
      </c>
      <c r="C35" s="9" t="s">
        <v>17</v>
      </c>
      <c r="D35" s="11" t="s">
        <v>34</v>
      </c>
      <c r="E35" s="25">
        <f>0.526-0.1-0.118+(0.088)-0.007-0.007-0.0007</f>
        <v>0.38130000000000003</v>
      </c>
    </row>
    <row r="36" spans="1:5" ht="34">
      <c r="A36" s="34" t="s">
        <v>9</v>
      </c>
      <c r="B36" s="10" t="s">
        <v>32</v>
      </c>
      <c r="C36" s="9" t="s">
        <v>17</v>
      </c>
      <c r="D36" s="11" t="s">
        <v>35</v>
      </c>
      <c r="E36" s="25">
        <f>0.118-0.014</f>
        <v>0.104</v>
      </c>
    </row>
    <row r="37" spans="1:5" ht="34">
      <c r="A37" s="34" t="s">
        <v>9</v>
      </c>
      <c r="B37" s="10" t="s">
        <v>32</v>
      </c>
      <c r="C37" s="5" t="s">
        <v>33</v>
      </c>
      <c r="D37" s="11" t="s">
        <v>36</v>
      </c>
      <c r="E37" s="25">
        <f>2.974-0.027</f>
        <v>2.9470000000000001</v>
      </c>
    </row>
    <row r="38" spans="1:5" ht="34">
      <c r="A38" s="34" t="s">
        <v>9</v>
      </c>
      <c r="B38" s="10" t="s">
        <v>32</v>
      </c>
      <c r="C38" s="5" t="s">
        <v>33</v>
      </c>
      <c r="D38" s="11" t="s">
        <v>14</v>
      </c>
      <c r="E38" s="25">
        <f>3.069-0.034</f>
        <v>3.0350000000000001</v>
      </c>
    </row>
    <row r="39" spans="1:5" ht="34">
      <c r="A39" s="34" t="s">
        <v>9</v>
      </c>
      <c r="B39" s="10" t="s">
        <v>32</v>
      </c>
      <c r="C39" s="5" t="s">
        <v>33</v>
      </c>
      <c r="D39" s="11" t="s">
        <v>16</v>
      </c>
      <c r="E39" s="25">
        <f>3.038-0.303-0.099-0.006-0.006</f>
        <v>2.6240000000000001</v>
      </c>
    </row>
    <row r="40" spans="1:5" ht="34">
      <c r="A40" s="34" t="s">
        <v>9</v>
      </c>
      <c r="B40" s="1" t="s">
        <v>32</v>
      </c>
      <c r="C40" s="5" t="s">
        <v>37</v>
      </c>
      <c r="D40" s="6" t="s">
        <v>38</v>
      </c>
      <c r="E40" s="25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1" spans="1:5" ht="34">
      <c r="A41" s="34" t="s">
        <v>9</v>
      </c>
      <c r="B41" s="10" t="s">
        <v>32</v>
      </c>
      <c r="C41" s="9" t="s">
        <v>39</v>
      </c>
      <c r="D41" s="11" t="s">
        <v>40</v>
      </c>
      <c r="E41" s="25">
        <f>2.11-0.016-0.048-0.016-0.755-0.016-0.032-0.804-0.016-(0.007)-0.016-0.016-0.016-0.016-0.016-0.016-0.016-0.016-0.016-0.109-0.142</f>
        <v>4.9999999999996991E-3</v>
      </c>
    </row>
    <row r="42" spans="1:5" ht="34">
      <c r="A42" s="34" t="s">
        <v>9</v>
      </c>
      <c r="B42" s="10" t="s">
        <v>32</v>
      </c>
      <c r="C42" s="9" t="s">
        <v>39</v>
      </c>
      <c r="D42" s="11" t="s">
        <v>41</v>
      </c>
      <c r="E42" s="25">
        <f>5.152-0.054-0.019-0.019-0.019-0.108-0.019-0.019-0.038-0.038-0.038-0.019-0.308-0.019-0.108-0.019</f>
        <v>4.3079999999999989</v>
      </c>
    </row>
    <row r="43" spans="1:5" ht="34">
      <c r="A43" s="34" t="s">
        <v>9</v>
      </c>
      <c r="B43" s="1" t="s">
        <v>32</v>
      </c>
      <c r="C43" s="5" t="s">
        <v>33</v>
      </c>
      <c r="D43" s="6" t="s">
        <v>21</v>
      </c>
      <c r="E43" s="25">
        <f>2.974-0.252-0.302-0.126-0.018</f>
        <v>2.2760000000000007</v>
      </c>
    </row>
    <row r="44" spans="1:5" ht="34">
      <c r="A44" s="34" t="s">
        <v>9</v>
      </c>
      <c r="B44" s="1" t="s">
        <v>32</v>
      </c>
      <c r="C44" s="5" t="s">
        <v>33</v>
      </c>
      <c r="D44" s="6" t="s">
        <v>42</v>
      </c>
      <c r="E44" s="25">
        <f>2.953-0.7-0.5</f>
        <v>1.7530000000000001</v>
      </c>
    </row>
    <row r="45" spans="1:5" ht="34">
      <c r="A45" s="34" t="s">
        <v>9</v>
      </c>
      <c r="B45" s="1" t="s">
        <v>32</v>
      </c>
      <c r="C45" s="5" t="s">
        <v>37</v>
      </c>
      <c r="D45" s="6" t="s">
        <v>43</v>
      </c>
      <c r="E45" s="25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6" spans="1:5" ht="34">
      <c r="A46" s="34" t="s">
        <v>9</v>
      </c>
      <c r="B46" s="10" t="s">
        <v>32</v>
      </c>
      <c r="C46" s="9" t="s">
        <v>39</v>
      </c>
      <c r="D46" s="11" t="s">
        <v>44</v>
      </c>
      <c r="E46" s="25">
        <f>5.17-0.165-0.056-0.028-0.028-0.028-0.028-0.217-0.11-0.301-0.055-0.163-0.028-0.028-0.028-0.08-0.028-0.488-0.164-0.082-0.272-0.406-0.082-0.49-0.163-0.056</f>
        <v>1.5960000000000019</v>
      </c>
    </row>
    <row r="47" spans="1:5" ht="34">
      <c r="A47" s="34" t="s">
        <v>9</v>
      </c>
      <c r="B47" s="1" t="s">
        <v>32</v>
      </c>
      <c r="C47" s="5" t="s">
        <v>33</v>
      </c>
      <c r="D47" s="6" t="s">
        <v>24</v>
      </c>
      <c r="E47" s="25">
        <f>2.906-1.504-0.036</f>
        <v>1.3660000000000001</v>
      </c>
    </row>
    <row r="48" spans="1:5" ht="34">
      <c r="A48" s="34" t="s">
        <v>9</v>
      </c>
      <c r="B48" s="1" t="s">
        <v>32</v>
      </c>
      <c r="C48" s="5" t="s">
        <v>33</v>
      </c>
      <c r="D48" s="6" t="s">
        <v>45</v>
      </c>
      <c r="E48" s="25">
        <f>3.056-0.251-0.012-0.238</f>
        <v>2.5550000000000002</v>
      </c>
    </row>
    <row r="49" spans="1:5" ht="34">
      <c r="A49" s="34" t="s">
        <v>9</v>
      </c>
      <c r="B49" s="10" t="s">
        <v>32</v>
      </c>
      <c r="C49" s="9" t="s">
        <v>39</v>
      </c>
      <c r="D49" s="11" t="s">
        <v>46</v>
      </c>
      <c r="E49" s="25">
        <f>2.032-0.55-0.036-(0.015)-0.958-0.036-0.037-0.036-0.11</f>
        <v>0.25400000000000017</v>
      </c>
    </row>
    <row r="50" spans="1:5" ht="34">
      <c r="A50" s="34" t="s">
        <v>9</v>
      </c>
      <c r="B50" s="10" t="s">
        <v>32</v>
      </c>
      <c r="C50" s="9" t="s">
        <v>39</v>
      </c>
      <c r="D50" s="11" t="s">
        <v>47</v>
      </c>
      <c r="E50" s="25">
        <f>5.196-0.664-0.037-0.404-0.114</f>
        <v>3.9770000000000003</v>
      </c>
    </row>
    <row r="51" spans="1:5" ht="34">
      <c r="A51" s="34" t="s">
        <v>9</v>
      </c>
      <c r="B51" s="10" t="s">
        <v>48</v>
      </c>
      <c r="C51" s="9" t="s">
        <v>49</v>
      </c>
      <c r="D51" s="14" t="s">
        <v>50</v>
      </c>
      <c r="E51" s="22">
        <f>1.53-0.498-0.0035-0.0105-0.007-0.007-0.0035-0.023+0.0055-0.004-0.0105-0.0035-0.0035-0.956</f>
        <v>5.5000000000002824E-3</v>
      </c>
    </row>
    <row r="52" spans="1:5" ht="34">
      <c r="A52" s="34" t="s">
        <v>9</v>
      </c>
      <c r="B52" s="10" t="s">
        <v>48</v>
      </c>
      <c r="C52" s="9" t="s">
        <v>49</v>
      </c>
      <c r="D52" s="14" t="s">
        <v>51</v>
      </c>
      <c r="E52" s="22">
        <f>2-1.33-0.012-0.008+0.012-0.101-0.252</f>
        <v>0.30899999999999994</v>
      </c>
    </row>
    <row r="53" spans="1:5" ht="34">
      <c r="A53" s="34" t="s">
        <v>9</v>
      </c>
      <c r="B53" s="10" t="s">
        <v>48</v>
      </c>
      <c r="C53" s="9" t="s">
        <v>49</v>
      </c>
      <c r="D53" s="14" t="s">
        <v>51</v>
      </c>
      <c r="E53" s="22">
        <f>1.43-0.469-0.3-0.299-0.207</f>
        <v>0.15500000000000005</v>
      </c>
    </row>
    <row r="54" spans="1:5" ht="34">
      <c r="A54" s="34" t="s">
        <v>9</v>
      </c>
      <c r="B54" s="10" t="s">
        <v>48</v>
      </c>
      <c r="C54" s="9" t="s">
        <v>49</v>
      </c>
      <c r="D54" s="14" t="s">
        <v>52</v>
      </c>
      <c r="E54" s="22">
        <f>1.59-0.302-0.3-0.2-0.0042</f>
        <v>0.78380000000000005</v>
      </c>
    </row>
    <row r="55" spans="1:5" ht="34">
      <c r="A55" s="34" t="s">
        <v>9</v>
      </c>
      <c r="B55" s="10" t="s">
        <v>48</v>
      </c>
      <c r="C55" s="10" t="s">
        <v>53</v>
      </c>
      <c r="D55" s="6" t="s">
        <v>54</v>
      </c>
      <c r="E55" s="27">
        <f>18.44-0.146-0.112-0.111-0.242-0.304-0.019-0.112-0.019-0.298-0.202-0.247-0.13-0.242-0.093-0.019-0.167-0.26-0.038-0.111-0.5-0.093-0.019-1.418-0.038-0.019-0.299-0.019-0.332-0.019-0.505-0.298-0.28-2.318-0.038-0.019-0.112-0.503-0.205-0.093-0.502-1.246-0.502-0.484-0.057-0.513-0.19-1.9-1.007</f>
        <v>2.040000000000008</v>
      </c>
    </row>
    <row r="56" spans="1:5" ht="34">
      <c r="A56" s="34" t="s">
        <v>9</v>
      </c>
      <c r="B56" s="10" t="s">
        <v>48</v>
      </c>
      <c r="C56" s="10" t="s">
        <v>53</v>
      </c>
      <c r="D56" s="6" t="s">
        <v>54</v>
      </c>
      <c r="E56" s="27">
        <f>4.82</f>
        <v>4.82</v>
      </c>
    </row>
    <row r="57" spans="1:5" ht="34">
      <c r="A57" s="34" t="s">
        <v>9</v>
      </c>
      <c r="B57" s="10" t="s">
        <v>48</v>
      </c>
      <c r="C57" s="10" t="s">
        <v>55</v>
      </c>
      <c r="D57" s="6" t="s">
        <v>56</v>
      </c>
      <c r="E57" s="27">
        <f>22.7-0.204-0.132-0.044-0.516-0.292-0.024-0.223-0.024-0.512-0.048-0.381-1.095-0.244-0.045</f>
        <v>18.915999999999993</v>
      </c>
    </row>
    <row r="58" spans="1:5" ht="34">
      <c r="A58" s="34" t="s">
        <v>9</v>
      </c>
      <c r="B58" s="10" t="s">
        <v>48</v>
      </c>
      <c r="C58" s="10" t="s">
        <v>57</v>
      </c>
      <c r="D58" s="6" t="s">
        <v>58</v>
      </c>
      <c r="E58" s="25">
        <f>1.58-0.196-0.0168-0.0084</f>
        <v>1.3588000000000002</v>
      </c>
    </row>
    <row r="59" spans="1:5" ht="34">
      <c r="A59" s="34" t="s">
        <v>9</v>
      </c>
      <c r="B59" s="10" t="s">
        <v>48</v>
      </c>
      <c r="C59" s="10" t="s">
        <v>59</v>
      </c>
      <c r="D59" s="6" t="s">
        <v>60</v>
      </c>
      <c r="E59" s="27">
        <f>10.92-0.143-0.03-8.22-1.882-0.28-0.03-0.058-0.029-0.198</f>
        <v>4.9999999999999295E-2</v>
      </c>
    </row>
    <row r="60" spans="1:5" ht="34">
      <c r="A60" s="34" t="s">
        <v>9</v>
      </c>
      <c r="B60" s="10" t="s">
        <v>48</v>
      </c>
      <c r="C60" s="10" t="s">
        <v>61</v>
      </c>
      <c r="D60" s="6" t="s">
        <v>60</v>
      </c>
      <c r="E60" s="25">
        <f>17.02-1.096-0.504-0.057-0.508-0.508-1.49-0.06-0.057-0.057-0.395-0.03-0.197-0.12-0.5-1.02-2.01-0.06</f>
        <v>8.3510000000000026</v>
      </c>
    </row>
    <row r="61" spans="1:5" ht="34">
      <c r="A61" s="34" t="s">
        <v>9</v>
      </c>
      <c r="B61" s="10" t="s">
        <v>48</v>
      </c>
      <c r="C61" s="10" t="s">
        <v>55</v>
      </c>
      <c r="D61" s="6" t="s">
        <v>62</v>
      </c>
      <c r="E61" s="25">
        <f>0.076-0.014-0.031</f>
        <v>3.1E-2</v>
      </c>
    </row>
    <row r="62" spans="1:5" ht="34">
      <c r="A62" s="34" t="s">
        <v>9</v>
      </c>
      <c r="B62" s="10" t="s">
        <v>48</v>
      </c>
      <c r="C62" s="10" t="s">
        <v>55</v>
      </c>
      <c r="D62" s="6" t="s">
        <v>63</v>
      </c>
      <c r="E62" s="25">
        <f>16.84-4.05-4.79-0.114-0.04-4.04-2.064-0.08</f>
        <v>1.661999999999999</v>
      </c>
    </row>
    <row r="63" spans="1:5" ht="34">
      <c r="A63" s="34" t="s">
        <v>9</v>
      </c>
      <c r="B63" s="10" t="s">
        <v>48</v>
      </c>
      <c r="C63" s="10" t="s">
        <v>64</v>
      </c>
      <c r="D63" s="6" t="s">
        <v>65</v>
      </c>
      <c r="E63" s="27">
        <v>1.6E-2</v>
      </c>
    </row>
    <row r="64" spans="1:5" ht="34">
      <c r="A64" s="34" t="s">
        <v>9</v>
      </c>
      <c r="B64" s="10" t="s">
        <v>48</v>
      </c>
      <c r="C64" s="10" t="s">
        <v>64</v>
      </c>
      <c r="D64" s="6" t="s">
        <v>66</v>
      </c>
      <c r="E64" s="25">
        <f>10.88-0.886-0.98-0.186-0.51-0.513-0.56-0.374-0.048-0.422-0.518-0.048-0.188-0.233-0.048-2.004-0.048-0.514-0.048-0.326-0.048-0.14-0.982-0.048-0.326-0.093-0.098</f>
        <v>0.69100000000000217</v>
      </c>
    </row>
    <row r="65" spans="1:5" ht="34">
      <c r="A65" s="34" t="s">
        <v>9</v>
      </c>
      <c r="B65" s="10" t="s">
        <v>48</v>
      </c>
      <c r="C65" s="10" t="s">
        <v>64</v>
      </c>
      <c r="D65" s="6" t="s">
        <v>66</v>
      </c>
      <c r="E65" s="25">
        <f>14.48-2.994-0.99-1-0.516</f>
        <v>8.98</v>
      </c>
    </row>
    <row r="66" spans="1:5" ht="34">
      <c r="A66" s="34" t="s">
        <v>9</v>
      </c>
      <c r="B66" s="10" t="s">
        <v>48</v>
      </c>
      <c r="C66" s="10" t="s">
        <v>59</v>
      </c>
      <c r="D66" s="6" t="s">
        <v>67</v>
      </c>
      <c r="E66" s="27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67" spans="1:5" ht="34">
      <c r="A67" s="34" t="s">
        <v>9</v>
      </c>
      <c r="B67" s="10" t="s">
        <v>48</v>
      </c>
      <c r="C67" s="10" t="s">
        <v>68</v>
      </c>
      <c r="D67" s="6" t="s">
        <v>69</v>
      </c>
      <c r="E67" s="25">
        <f>2.22-0.502-0.168-0.333-0.056-0.498-0.166-0.055-0.108-0.165-0.056</f>
        <v>0.11300000000000024</v>
      </c>
    </row>
    <row r="68" spans="1:5" ht="34">
      <c r="A68" s="34" t="s">
        <v>9</v>
      </c>
      <c r="B68" s="10" t="s">
        <v>48</v>
      </c>
      <c r="C68" s="10" t="s">
        <v>70</v>
      </c>
      <c r="D68" s="6" t="s">
        <v>69</v>
      </c>
      <c r="E68" s="25">
        <f>4.085-0.103-1.5</f>
        <v>2.4819999999999998</v>
      </c>
    </row>
    <row r="69" spans="1:5" ht="34">
      <c r="A69" s="34" t="s">
        <v>9</v>
      </c>
      <c r="B69" s="1" t="s">
        <v>71</v>
      </c>
      <c r="C69" s="1" t="s">
        <v>72</v>
      </c>
      <c r="D69" s="1" t="s">
        <v>73</v>
      </c>
      <c r="E69" s="27">
        <f>1.206-0.013-0.026-0.013-0.013-0.062-0.123-0.037-0.026-0.026-0.013-0.013-0.012-0.026-0.013</f>
        <v>0.79</v>
      </c>
    </row>
    <row r="70" spans="1:5" ht="34">
      <c r="A70" s="34" t="s">
        <v>9</v>
      </c>
      <c r="B70" s="1" t="s">
        <v>71</v>
      </c>
      <c r="C70" s="1" t="s">
        <v>72</v>
      </c>
      <c r="D70" s="1" t="s">
        <v>73</v>
      </c>
      <c r="E70" s="25">
        <f>9.88-0.026-0.151-0.013-0.013-0.1</f>
        <v>9.5770000000000017</v>
      </c>
    </row>
    <row r="71" spans="1:5" ht="34">
      <c r="A71" s="34" t="s">
        <v>9</v>
      </c>
      <c r="B71" s="1" t="s">
        <v>71</v>
      </c>
      <c r="C71" s="1" t="s">
        <v>72</v>
      </c>
      <c r="D71" s="1" t="s">
        <v>74</v>
      </c>
      <c r="E71" s="27">
        <f>9.52-4.98-0.995-0.104-2-0.072-0.018</f>
        <v>1.3509999999999989</v>
      </c>
    </row>
    <row r="72" spans="1:5" ht="34">
      <c r="A72" s="34" t="s">
        <v>9</v>
      </c>
      <c r="B72" s="1" t="s">
        <v>71</v>
      </c>
      <c r="C72" s="1" t="s">
        <v>72</v>
      </c>
      <c r="D72" s="1" t="s">
        <v>75</v>
      </c>
      <c r="E72" s="27">
        <f>9.02-0.015-0.03</f>
        <v>8.9749999999999996</v>
      </c>
    </row>
    <row r="73" spans="1:5" ht="34">
      <c r="A73" s="34" t="s">
        <v>9</v>
      </c>
      <c r="B73" s="1" t="s">
        <v>71</v>
      </c>
      <c r="C73" s="1" t="s">
        <v>72</v>
      </c>
      <c r="D73" s="1" t="s">
        <v>76</v>
      </c>
      <c r="E73" s="27">
        <f>9.02-0.236-0.02-0.511-0.51-0.02-0.136-0.1-0.058-0.06-0.02-0.078-0.51-0.04-0.2-0.25</f>
        <v>6.2710000000000017</v>
      </c>
    </row>
    <row r="74" spans="1:5" ht="34">
      <c r="A74" s="34" t="s">
        <v>9</v>
      </c>
      <c r="B74" s="1" t="s">
        <v>71</v>
      </c>
      <c r="C74" s="10" t="s">
        <v>72</v>
      </c>
      <c r="D74" s="1" t="s">
        <v>77</v>
      </c>
      <c r="E74" s="25">
        <f>1.191-0.097-0.05-0.05-0.51-0.025-0.025-0.05-0.098-0.05-0.075-0.075-0.025-0.025-0.025</f>
        <v>1.099999999999992E-2</v>
      </c>
    </row>
    <row r="75" spans="1:5" ht="34">
      <c r="A75" s="34" t="s">
        <v>9</v>
      </c>
      <c r="B75" s="1" t="s">
        <v>71</v>
      </c>
      <c r="C75" s="10" t="s">
        <v>72</v>
      </c>
      <c r="D75" s="1" t="s">
        <v>77</v>
      </c>
      <c r="E75" s="25">
        <f>19.59-3.98-0.245-0.099-3.98-3.96-0.195-0.097-0.125-0.319-0.099-0.073-3.612-0.097-0.171-0.025-0.025-0.049-0.292-0.025-0.025-0.05-0.515-0.025-0.05-1.25</f>
        <v>0.20699999999999918</v>
      </c>
    </row>
    <row r="76" spans="1:5" ht="34">
      <c r="A76" s="34" t="s">
        <v>9</v>
      </c>
      <c r="B76" s="1" t="s">
        <v>71</v>
      </c>
      <c r="C76" s="10" t="s">
        <v>72</v>
      </c>
      <c r="D76" s="1" t="s">
        <v>77</v>
      </c>
      <c r="E76" s="25">
        <f>19.45-4.93-4.95-3.21-0.1-0.3</f>
        <v>5.9600000000000009</v>
      </c>
    </row>
    <row r="77" spans="1:5" ht="34">
      <c r="A77" s="34" t="s">
        <v>9</v>
      </c>
      <c r="B77" s="10" t="s">
        <v>78</v>
      </c>
      <c r="C77" s="10" t="s">
        <v>72</v>
      </c>
      <c r="D77" s="1" t="s">
        <v>79</v>
      </c>
      <c r="E77" s="25">
        <f>20.31-2.608-0.941-0.395-1.012-1.808-1.556-0.181-0.076-1.522-0.026-1.52-0.072-1.12-0.037-0.037-0.145-0.217-0.218-0.616-0.183-0.074-0.074-2.75-0.111-0.1</f>
        <v>2.9110000000000014</v>
      </c>
    </row>
    <row r="78" spans="1:5" ht="34">
      <c r="A78" s="34" t="s">
        <v>9</v>
      </c>
      <c r="B78" s="10" t="s">
        <v>78</v>
      </c>
      <c r="C78" s="10" t="s">
        <v>72</v>
      </c>
      <c r="D78" s="1" t="s">
        <v>79</v>
      </c>
      <c r="E78" s="25">
        <f>19.86</f>
        <v>19.86</v>
      </c>
    </row>
    <row r="79" spans="1:5" ht="34">
      <c r="A79" s="34" t="s">
        <v>9</v>
      </c>
      <c r="B79" s="10" t="s">
        <v>78</v>
      </c>
      <c r="C79" s="10" t="s">
        <v>72</v>
      </c>
      <c r="D79" s="1" t="s">
        <v>80</v>
      </c>
      <c r="E79" s="25">
        <f>4.77-0.52-0.159-0.239-0.04-0.04-0.08</f>
        <v>3.6920000000000002</v>
      </c>
    </row>
    <row r="80" spans="1:5" ht="34">
      <c r="A80" s="34" t="s">
        <v>9</v>
      </c>
      <c r="B80" s="10" t="s">
        <v>78</v>
      </c>
      <c r="C80" s="10" t="s">
        <v>72</v>
      </c>
      <c r="D80" s="1" t="s">
        <v>81</v>
      </c>
      <c r="E80" s="25">
        <f>9.84-0.296-0.149-5.938-0.795-0.246-0.983-0.05-0.05-0.048-0.099-0.1-0.492-0.098-0.05-0.049-0.2-0.05-0.049</f>
        <v>9.8000000000001461E-2</v>
      </c>
    </row>
    <row r="81" spans="1:5" ht="34">
      <c r="A81" s="34" t="s">
        <v>9</v>
      </c>
      <c r="B81" s="10" t="s">
        <v>78</v>
      </c>
      <c r="C81" s="10" t="s">
        <v>72</v>
      </c>
      <c r="D81" s="1" t="s">
        <v>81</v>
      </c>
      <c r="E81" s="25">
        <f>21.53-0.247-0.25-0.504-3.17-0.2-0.297-0.051-0.098-0.494-0.498-0.2-0.7-0.5-0.248-1.538-0.05-0.5-0.5-5-0.4</f>
        <v>6.0850000000000062</v>
      </c>
    </row>
    <row r="82" spans="1:5" ht="34">
      <c r="A82" s="34" t="s">
        <v>9</v>
      </c>
      <c r="B82" s="10" t="s">
        <v>78</v>
      </c>
      <c r="C82" s="10" t="s">
        <v>72</v>
      </c>
      <c r="D82" s="1" t="s">
        <v>81</v>
      </c>
      <c r="E82" s="25">
        <f>9.82</f>
        <v>9.82</v>
      </c>
    </row>
    <row r="83" spans="1:5" ht="34">
      <c r="A83" s="34" t="s">
        <v>9</v>
      </c>
      <c r="B83" s="10" t="s">
        <v>78</v>
      </c>
      <c r="C83" s="10" t="s">
        <v>72</v>
      </c>
      <c r="D83" s="1" t="s">
        <v>82</v>
      </c>
      <c r="E83" s="25">
        <f>4.88-0.496-0.246-0.124-0.062-0.186-0.8-0.31-0.123-0.122-0.611-0.062-0.123-0.123-0.122-0.06-0.062-0.052-0.678-0.25-0.064-0.19</f>
        <v>1.4000000000000346E-2</v>
      </c>
    </row>
    <row r="84" spans="1:5" ht="34">
      <c r="A84" s="34" t="s">
        <v>9</v>
      </c>
      <c r="B84" s="10" t="s">
        <v>78</v>
      </c>
      <c r="C84" s="10" t="s">
        <v>72</v>
      </c>
      <c r="D84" s="1" t="s">
        <v>82</v>
      </c>
      <c r="E84" s="25">
        <f>8.55-3.76-0.185-2.528-0.061-0.248-0.061-0.062-0.062-0.492-0.124-0.31-0.41</f>
        <v>0.24700000000000139</v>
      </c>
    </row>
    <row r="85" spans="1:5" ht="34">
      <c r="A85" s="34" t="s">
        <v>9</v>
      </c>
      <c r="B85" s="10" t="s">
        <v>78</v>
      </c>
      <c r="C85" s="10" t="s">
        <v>72</v>
      </c>
      <c r="D85" s="1" t="s">
        <v>82</v>
      </c>
      <c r="E85" s="25">
        <f>9.28-2.968</f>
        <v>6.3119999999999994</v>
      </c>
    </row>
    <row r="86" spans="1:5" ht="34">
      <c r="A86" s="34" t="s">
        <v>9</v>
      </c>
      <c r="B86" s="10" t="s">
        <v>78</v>
      </c>
      <c r="C86" s="10" t="s">
        <v>72</v>
      </c>
      <c r="D86" s="1" t="s">
        <v>83</v>
      </c>
      <c r="E86" s="25">
        <f>2.19-0.368-0.075-0.072-0.074-0.075-0.15</f>
        <v>1.3760000000000001</v>
      </c>
    </row>
    <row r="87" spans="1:5" ht="34">
      <c r="A87" s="34" t="s">
        <v>9</v>
      </c>
      <c r="B87" s="10" t="s">
        <v>78</v>
      </c>
      <c r="C87" s="10" t="s">
        <v>72</v>
      </c>
      <c r="D87" s="1" t="s">
        <v>83</v>
      </c>
      <c r="E87" s="25">
        <f>20.92-4.746-4.22-4.24-4.38-0.2</f>
        <v>3.1340000000000003</v>
      </c>
    </row>
    <row r="88" spans="1:5" ht="34">
      <c r="A88" s="34" t="s">
        <v>9</v>
      </c>
      <c r="B88" s="10" t="s">
        <v>78</v>
      </c>
      <c r="C88" s="10" t="s">
        <v>72</v>
      </c>
      <c r="D88" s="1" t="s">
        <v>83</v>
      </c>
      <c r="E88" s="25">
        <f>22.4-4.58-4.49-4.48-4.48-0.381-0.444-0.299-0.22-0.074-0.074-0.884-0.3</f>
        <v>1.6939999999999993</v>
      </c>
    </row>
    <row r="89" spans="1:5" ht="34">
      <c r="A89" s="34" t="s">
        <v>9</v>
      </c>
      <c r="B89" s="9" t="s">
        <v>84</v>
      </c>
      <c r="C89" s="14" t="s">
        <v>85</v>
      </c>
      <c r="D89" s="14" t="s">
        <v>86</v>
      </c>
      <c r="E89" s="23">
        <f>2.824-0.5-0.101-0.051-0.006-0.3</f>
        <v>1.8659999999999999</v>
      </c>
    </row>
    <row r="90" spans="1:5" ht="34">
      <c r="A90" s="34" t="s">
        <v>9</v>
      </c>
      <c r="B90" s="9" t="s">
        <v>84</v>
      </c>
      <c r="C90" s="14" t="s">
        <v>87</v>
      </c>
      <c r="D90" s="14" t="s">
        <v>51</v>
      </c>
      <c r="E90" s="22">
        <f>7.244-3.632-0.048-1.002-0.016-0.016-0.016-1-0.008-0.008-0.008-0.016-0.008-0.016-0.016-0.016-0.016-0.04-0.0016</f>
        <v>1.3603999999999992</v>
      </c>
    </row>
    <row r="91" spans="1:5" ht="34">
      <c r="A91" s="34" t="s">
        <v>9</v>
      </c>
      <c r="B91" s="9" t="s">
        <v>84</v>
      </c>
      <c r="C91" s="14" t="s">
        <v>87</v>
      </c>
      <c r="D91" s="14" t="s">
        <v>51</v>
      </c>
      <c r="E91" s="22">
        <f>4.524-3</f>
        <v>1.524</v>
      </c>
    </row>
    <row r="92" spans="1:5" ht="34">
      <c r="A92" s="34" t="s">
        <v>9</v>
      </c>
      <c r="B92" s="9" t="s">
        <v>84</v>
      </c>
      <c r="C92" s="9" t="s">
        <v>88</v>
      </c>
      <c r="D92" s="14" t="s">
        <v>89</v>
      </c>
      <c r="E92" s="22">
        <f>1.01-0.207-0.114-0.096-0.098-0.1-0.016-0.311-0.048</f>
        <v>2.0000000000000115E-2</v>
      </c>
    </row>
    <row r="93" spans="1:5" ht="34">
      <c r="A93" s="34" t="s">
        <v>9</v>
      </c>
      <c r="B93" s="9" t="s">
        <v>84</v>
      </c>
      <c r="C93" s="9" t="s">
        <v>88</v>
      </c>
      <c r="D93" s="14" t="s">
        <v>89</v>
      </c>
      <c r="E93" s="22">
        <f>1.035-0.113-0.5-0.258</f>
        <v>0.16399999999999992</v>
      </c>
    </row>
    <row r="94" spans="1:5" ht="34">
      <c r="A94" s="34" t="s">
        <v>9</v>
      </c>
      <c r="B94" s="9" t="s">
        <v>84</v>
      </c>
      <c r="C94" s="9" t="s">
        <v>90</v>
      </c>
      <c r="D94" s="14" t="s">
        <v>91</v>
      </c>
      <c r="E94" s="23">
        <f>3.19-0.266-0.119-0.024-1.636-0.446-0.048-0.55</f>
        <v>0.10099999999999976</v>
      </c>
    </row>
    <row r="95" spans="1:5" ht="34">
      <c r="A95" s="34" t="s">
        <v>9</v>
      </c>
      <c r="B95" s="9" t="s">
        <v>84</v>
      </c>
      <c r="C95" s="9" t="s">
        <v>90</v>
      </c>
      <c r="D95" s="14" t="s">
        <v>91</v>
      </c>
      <c r="E95" s="23">
        <f>0.995</f>
        <v>0.995</v>
      </c>
    </row>
    <row r="96" spans="1:5" ht="34">
      <c r="A96" s="34" t="s">
        <v>9</v>
      </c>
      <c r="B96" s="9" t="s">
        <v>84</v>
      </c>
      <c r="C96" s="9" t="s">
        <v>90</v>
      </c>
      <c r="D96" s="14" t="s">
        <v>92</v>
      </c>
      <c r="E96" s="22">
        <f>4.107-0.315-1.826-0.377-0.096-0.305-0.032</f>
        <v>1.1560000000000001</v>
      </c>
    </row>
    <row r="97" spans="1:5" ht="34">
      <c r="A97" s="34" t="s">
        <v>9</v>
      </c>
      <c r="B97" s="9" t="s">
        <v>84</v>
      </c>
      <c r="C97" s="9" t="s">
        <v>90</v>
      </c>
      <c r="D97" s="14" t="s">
        <v>93</v>
      </c>
      <c r="E97" s="22">
        <f>2.03-0.706-0.092</f>
        <v>1.2319999999999998</v>
      </c>
    </row>
    <row r="98" spans="1:5" ht="34">
      <c r="A98" s="34" t="s">
        <v>9</v>
      </c>
      <c r="B98" s="1" t="s">
        <v>94</v>
      </c>
      <c r="C98" s="2" t="s">
        <v>95</v>
      </c>
      <c r="D98" s="14" t="s">
        <v>16</v>
      </c>
      <c r="E98" s="22">
        <f>2.864-0.506-0.027-0.012-0.5-0.103-0.207-0.006-0.055-0.018-0.06-0.055-0.055-0.06</f>
        <v>1.1999999999999995</v>
      </c>
    </row>
    <row r="99" spans="1:5" ht="34">
      <c r="A99" s="34" t="s">
        <v>9</v>
      </c>
      <c r="B99" s="1" t="s">
        <v>94</v>
      </c>
      <c r="C99" s="2" t="s">
        <v>95</v>
      </c>
      <c r="D99" s="14" t="s">
        <v>96</v>
      </c>
      <c r="E99" s="23">
        <f>8.128-0.299-0.049-0.014-0.007-0.028-0.11-0.007-0.062-0.103-0.007</f>
        <v>7.4420000000000002</v>
      </c>
    </row>
    <row r="100" spans="1:5" ht="34">
      <c r="A100" s="34" t="s">
        <v>9</v>
      </c>
      <c r="B100" s="1" t="s">
        <v>94</v>
      </c>
      <c r="C100" s="2" t="s">
        <v>95</v>
      </c>
      <c r="D100" s="14" t="s">
        <v>21</v>
      </c>
      <c r="E100" s="23">
        <f>8.678-0.304-0.009-1-0.206-0.009-0.018-0.009</f>
        <v>7.1229999999999993</v>
      </c>
    </row>
    <row r="101" spans="1:5" ht="34">
      <c r="A101" s="34" t="s">
        <v>9</v>
      </c>
      <c r="B101" s="10" t="s">
        <v>94</v>
      </c>
      <c r="C101" s="10" t="s">
        <v>95</v>
      </c>
      <c r="D101" s="9" t="s">
        <v>22</v>
      </c>
      <c r="E101" s="23">
        <f>7.456-0.011-0.229-0.022-0.113-0.011-0.053-0.011-0.033-0.022-0.456-0.022-0.052-0.158-0.033-0.011-0.404-0.044-0.206-0.114-0.011-0.011-0.062-0.033-0.022-0.105-0.053-0.066</f>
        <v>5.0879999999999965</v>
      </c>
    </row>
    <row r="102" spans="1:5" ht="34">
      <c r="A102" s="34" t="s">
        <v>9</v>
      </c>
      <c r="B102" s="1" t="s">
        <v>94</v>
      </c>
      <c r="C102" s="2" t="s">
        <v>95</v>
      </c>
      <c r="D102" s="12" t="s">
        <v>97</v>
      </c>
      <c r="E102" s="25">
        <f>7.856-0.03-1.102-0.03-0.03-0.015-0.069-0.03</f>
        <v>6.5499999999999989</v>
      </c>
    </row>
    <row r="103" spans="1:5" ht="34">
      <c r="A103" s="34" t="s">
        <v>9</v>
      </c>
      <c r="B103" s="1" t="s">
        <v>94</v>
      </c>
      <c r="C103" s="2" t="s">
        <v>95</v>
      </c>
      <c r="D103" s="12" t="s">
        <v>98</v>
      </c>
      <c r="E103" s="25">
        <f>4.49-0.022-0.022-1.014-0.998-0.044-0.72</f>
        <v>1.6699999999999993</v>
      </c>
    </row>
    <row r="104" spans="1:5" ht="34">
      <c r="A104" s="34" t="s">
        <v>9</v>
      </c>
      <c r="B104" s="1" t="s">
        <v>94</v>
      </c>
      <c r="C104" s="2" t="s">
        <v>95</v>
      </c>
      <c r="D104" s="12" t="s">
        <v>98</v>
      </c>
      <c r="E104" s="25">
        <f>4.456</f>
        <v>4.4560000000000004</v>
      </c>
    </row>
    <row r="105" spans="1:5" ht="34">
      <c r="A105" s="34" t="s">
        <v>9</v>
      </c>
      <c r="B105" s="1" t="s">
        <v>99</v>
      </c>
      <c r="C105" s="2" t="s">
        <v>100</v>
      </c>
      <c r="D105" s="14" t="s">
        <v>101</v>
      </c>
      <c r="E105" s="22">
        <f>6.947-5.266-0.052-0.998-0.1-0.139-0.162</f>
        <v>0.23</v>
      </c>
    </row>
    <row r="106" spans="1:5" ht="34">
      <c r="A106" s="34" t="s">
        <v>9</v>
      </c>
      <c r="B106" s="1" t="s">
        <v>99</v>
      </c>
      <c r="C106" s="2" t="s">
        <v>100</v>
      </c>
      <c r="D106" s="14" t="s">
        <v>101</v>
      </c>
      <c r="E106" s="22">
        <f>1.719</f>
        <v>1.7190000000000001</v>
      </c>
    </row>
    <row r="107" spans="1:5" ht="34">
      <c r="A107" s="34" t="s">
        <v>9</v>
      </c>
      <c r="B107" s="1" t="s">
        <v>99</v>
      </c>
      <c r="C107" s="2" t="s">
        <v>100</v>
      </c>
      <c r="D107" s="14" t="s">
        <v>102</v>
      </c>
      <c r="E107" s="22">
        <f>1.3-0.101</f>
        <v>1.1990000000000001</v>
      </c>
    </row>
    <row r="108" spans="1:5" ht="34">
      <c r="A108" s="34" t="s">
        <v>9</v>
      </c>
      <c r="B108" s="1" t="s">
        <v>99</v>
      </c>
      <c r="C108" s="2" t="s">
        <v>100</v>
      </c>
      <c r="D108" s="14" t="s">
        <v>103</v>
      </c>
      <c r="E108" s="22">
        <f>1.36</f>
        <v>1.36</v>
      </c>
    </row>
    <row r="109" spans="1:5" ht="34">
      <c r="A109" s="34" t="s">
        <v>9</v>
      </c>
      <c r="B109" s="1" t="s">
        <v>99</v>
      </c>
      <c r="C109" s="2" t="s">
        <v>100</v>
      </c>
      <c r="D109" s="14" t="s">
        <v>104</v>
      </c>
      <c r="E109" s="22">
        <f>2.86-1.49-0.387</f>
        <v>0.98299999999999987</v>
      </c>
    </row>
    <row r="110" spans="1:5" ht="34">
      <c r="A110" s="34" t="s">
        <v>9</v>
      </c>
      <c r="B110" s="5" t="s">
        <v>105</v>
      </c>
      <c r="C110" s="14" t="s">
        <v>72</v>
      </c>
      <c r="D110" s="14" t="s">
        <v>75</v>
      </c>
      <c r="E110" s="22">
        <f>8.03-3.03-0.015-0.063</f>
        <v>4.9220000000000006</v>
      </c>
    </row>
    <row r="111" spans="1:5" ht="34">
      <c r="A111" s="34" t="s">
        <v>9</v>
      </c>
      <c r="B111" s="5" t="s">
        <v>106</v>
      </c>
      <c r="C111" s="14" t="s">
        <v>72</v>
      </c>
      <c r="D111" s="14" t="s">
        <v>79</v>
      </c>
      <c r="E111" s="22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112" spans="1:5" ht="34">
      <c r="A112" s="34" t="s">
        <v>9</v>
      </c>
      <c r="B112" s="5" t="s">
        <v>106</v>
      </c>
      <c r="C112" s="14" t="s">
        <v>72</v>
      </c>
      <c r="D112" s="14" t="s">
        <v>79</v>
      </c>
      <c r="E112" s="22">
        <f>0.871</f>
        <v>0.871</v>
      </c>
    </row>
    <row r="113" spans="1:5" ht="34">
      <c r="A113" s="34" t="s">
        <v>9</v>
      </c>
      <c r="B113" s="1" t="s">
        <v>107</v>
      </c>
      <c r="C113" s="1" t="s">
        <v>72</v>
      </c>
      <c r="D113" s="1" t="s">
        <v>73</v>
      </c>
      <c r="E113" s="27">
        <f>4.62-0.463-0.614-0.1</f>
        <v>3.4430000000000001</v>
      </c>
    </row>
    <row r="114" spans="1:5" ht="34">
      <c r="A114" s="34" t="s">
        <v>9</v>
      </c>
      <c r="B114" s="1" t="s">
        <v>107</v>
      </c>
      <c r="C114" s="1" t="s">
        <v>72</v>
      </c>
      <c r="D114" s="1" t="s">
        <v>76</v>
      </c>
      <c r="E114" s="27">
        <f>24.29-5.02-0.198-0.02-0.019-1.2-0.6-0.099-2.978-0.27</f>
        <v>13.886000000000001</v>
      </c>
    </row>
    <row r="115" spans="1:5" ht="34">
      <c r="A115" s="34" t="s">
        <v>9</v>
      </c>
      <c r="B115" s="1" t="s">
        <v>107</v>
      </c>
      <c r="C115" s="1" t="s">
        <v>72</v>
      </c>
      <c r="D115" s="1" t="s">
        <v>108</v>
      </c>
      <c r="E115" s="27">
        <f>24.18-0.99-1.998-0.074-0.295-0.197-0.025-0.173-0.098-0.198-1.304-0.246-1.006-0.248-0.372-1.008-1.012-0.692-0.296-2.986-0.35-0.124-0.098-0.098-4.84-0.3-0.2-1.83</f>
        <v>3.1220000000000017</v>
      </c>
    </row>
    <row r="116" spans="1:5" ht="34">
      <c r="A116" s="34" t="s">
        <v>9</v>
      </c>
      <c r="B116" s="1" t="s">
        <v>107</v>
      </c>
      <c r="C116" s="1" t="s">
        <v>72</v>
      </c>
      <c r="D116" s="1" t="s">
        <v>80</v>
      </c>
      <c r="E116" s="27">
        <f>12.37-8.71-0.197-0.198-0.158-0.314-0.394</f>
        <v>2.3989999999999982</v>
      </c>
    </row>
    <row r="117" spans="1:5" ht="34">
      <c r="A117" s="34" t="s">
        <v>9</v>
      </c>
      <c r="B117" s="1" t="s">
        <v>107</v>
      </c>
      <c r="C117" s="1" t="s">
        <v>72</v>
      </c>
      <c r="D117" s="1" t="s">
        <v>109</v>
      </c>
      <c r="E117" s="25">
        <f>9.61-3.226-1.17</f>
        <v>5.2139999999999995</v>
      </c>
    </row>
    <row r="118" spans="1:5" ht="34">
      <c r="A118" s="34" t="s">
        <v>9</v>
      </c>
      <c r="B118" s="1" t="s">
        <v>107</v>
      </c>
      <c r="C118" s="1" t="s">
        <v>72</v>
      </c>
      <c r="D118" s="1" t="s">
        <v>110</v>
      </c>
      <c r="E118" s="25">
        <f>9.76-0.074-0.07</f>
        <v>9.6159999999999997</v>
      </c>
    </row>
    <row r="119" spans="1:5" ht="34">
      <c r="A119" s="34" t="s">
        <v>9</v>
      </c>
      <c r="B119" s="1" t="s">
        <v>107</v>
      </c>
      <c r="C119" s="1" t="s">
        <v>72</v>
      </c>
      <c r="D119" s="1" t="s">
        <v>110</v>
      </c>
      <c r="E119" s="25">
        <f>3.33</f>
        <v>3.33</v>
      </c>
    </row>
    <row r="120" spans="1:5" ht="34">
      <c r="A120" s="34" t="s">
        <v>9</v>
      </c>
      <c r="B120" s="1" t="s">
        <v>111</v>
      </c>
      <c r="C120" s="14" t="s">
        <v>112</v>
      </c>
      <c r="D120" s="8" t="s">
        <v>113</v>
      </c>
      <c r="E120" s="24">
        <f>0.615-0.016</f>
        <v>0.59899999999999998</v>
      </c>
    </row>
    <row r="121" spans="1:5" ht="34">
      <c r="A121" s="34" t="s">
        <v>9</v>
      </c>
      <c r="B121" s="1" t="s">
        <v>111</v>
      </c>
      <c r="C121" s="14" t="s">
        <v>112</v>
      </c>
      <c r="D121" s="8" t="s">
        <v>114</v>
      </c>
      <c r="E121" s="24">
        <f>0.518-0.308-0.025-0.022-0.022-0.045</f>
        <v>9.6000000000000044E-2</v>
      </c>
    </row>
    <row r="122" spans="1:5" ht="34">
      <c r="A122" s="34" t="s">
        <v>9</v>
      </c>
      <c r="B122" s="1" t="s">
        <v>111</v>
      </c>
      <c r="C122" s="14" t="s">
        <v>112</v>
      </c>
      <c r="D122" s="8" t="s">
        <v>115</v>
      </c>
      <c r="E122" s="24">
        <f>0.412-0.206-0.069-0.024</f>
        <v>0.11299999999999999</v>
      </c>
    </row>
    <row r="123" spans="1:5" ht="34">
      <c r="A123" s="34" t="s">
        <v>9</v>
      </c>
      <c r="B123" s="1" t="s">
        <v>111</v>
      </c>
      <c r="C123" s="14" t="s">
        <v>112</v>
      </c>
      <c r="D123" s="8" t="s">
        <v>116</v>
      </c>
      <c r="E123" s="24">
        <f>0.597</f>
        <v>0.59699999999999998</v>
      </c>
    </row>
    <row r="124" spans="1:5" ht="34">
      <c r="A124" s="34" t="s">
        <v>9</v>
      </c>
      <c r="B124" s="1" t="s">
        <v>111</v>
      </c>
      <c r="C124" s="14" t="s">
        <v>112</v>
      </c>
      <c r="D124" s="8" t="s">
        <v>117</v>
      </c>
      <c r="E124" s="24">
        <f>0.577</f>
        <v>0.57699999999999996</v>
      </c>
    </row>
    <row r="125" spans="1:5" ht="34">
      <c r="A125" s="34" t="s">
        <v>9</v>
      </c>
      <c r="B125" s="1" t="s">
        <v>111</v>
      </c>
      <c r="C125" s="14" t="s">
        <v>112</v>
      </c>
      <c r="D125" s="8" t="s">
        <v>118</v>
      </c>
      <c r="E125" s="24">
        <f>0.611</f>
        <v>0.61099999999999999</v>
      </c>
    </row>
    <row r="126" spans="1:5" ht="34">
      <c r="A126" s="34" t="s">
        <v>9</v>
      </c>
      <c r="B126" s="1" t="s">
        <v>111</v>
      </c>
      <c r="C126" s="14" t="s">
        <v>112</v>
      </c>
      <c r="D126" s="8" t="s">
        <v>119</v>
      </c>
      <c r="E126" s="24">
        <v>0.56000000000000005</v>
      </c>
    </row>
    <row r="127" spans="1:5" ht="34">
      <c r="A127" s="35" t="s">
        <v>120</v>
      </c>
      <c r="B127" s="2" t="s">
        <v>10</v>
      </c>
      <c r="C127" s="10" t="s">
        <v>121</v>
      </c>
      <c r="D127" s="1" t="s">
        <v>122</v>
      </c>
      <c r="E127" s="26">
        <f>0.029</f>
        <v>2.9000000000000001E-2</v>
      </c>
    </row>
    <row r="128" spans="1:5" ht="34">
      <c r="A128" s="35" t="s">
        <v>120</v>
      </c>
      <c r="B128" s="10" t="s">
        <v>10</v>
      </c>
      <c r="C128" s="10" t="s">
        <v>121</v>
      </c>
      <c r="D128" s="10" t="s">
        <v>92</v>
      </c>
      <c r="E128" s="24">
        <f>10.405-0.494-0.07-2.397-2.65-0.27-0.068-1.685-1.71-0.032-0.064-0.032-0.064-0.066-0.46-0.032-0.066-0.165</f>
        <v>7.9999999999999266E-2</v>
      </c>
    </row>
    <row r="129" spans="1:5" ht="34">
      <c r="A129" s="35" t="s">
        <v>120</v>
      </c>
      <c r="B129" s="10" t="s">
        <v>10</v>
      </c>
      <c r="C129" s="10" t="s">
        <v>121</v>
      </c>
      <c r="D129" s="10" t="s">
        <v>92</v>
      </c>
      <c r="E129" s="24">
        <f>19.85-0.03-0.032-0.309-0.63-0.03-0.992-0.032-0.213-0.031-2.994-1.028-0.135-0.23-0.983-0.032-0.32-1-0.063-0.032-0.401-0.336-0.231-0.416-1.6-1.981</f>
        <v>5.7689999999999966</v>
      </c>
    </row>
    <row r="130" spans="1:5" ht="34">
      <c r="A130" s="35" t="s">
        <v>120</v>
      </c>
      <c r="B130" s="10" t="s">
        <v>10</v>
      </c>
      <c r="C130" s="10" t="s">
        <v>121</v>
      </c>
      <c r="D130" s="10" t="s">
        <v>92</v>
      </c>
      <c r="E130" s="24">
        <f>5.055-0.5</f>
        <v>4.5549999999999997</v>
      </c>
    </row>
    <row r="131" spans="1:5" ht="45">
      <c r="A131" s="35" t="s">
        <v>120</v>
      </c>
      <c r="B131" s="2" t="s">
        <v>10</v>
      </c>
      <c r="C131" s="2" t="s">
        <v>123</v>
      </c>
      <c r="D131" s="6" t="s">
        <v>124</v>
      </c>
      <c r="E131" s="26">
        <f>1.93-0.026-0.026-0.026-0.175-0.025-0.025-0.1-0.025-0.025-0.29-0.051-1.004-0.026-0.022-0.048+0.014-0.034</f>
        <v>1.6000000000000125E-2</v>
      </c>
    </row>
    <row r="132" spans="1:5" ht="34">
      <c r="A132" s="35" t="s">
        <v>120</v>
      </c>
      <c r="B132" s="10" t="s">
        <v>10</v>
      </c>
      <c r="C132" s="10" t="s">
        <v>125</v>
      </c>
      <c r="D132" s="11" t="s">
        <v>126</v>
      </c>
      <c r="E132" s="24">
        <f>2.99-0.04-0.405-0.04-0.082-0.084-0.422-0.17-0.084-0.085-0.042-0.085-0.198</f>
        <v>1.2530000000000001</v>
      </c>
    </row>
    <row r="133" spans="1:5" ht="34">
      <c r="A133" s="35" t="s">
        <v>120</v>
      </c>
      <c r="B133" s="10" t="s">
        <v>10</v>
      </c>
      <c r="C133" s="10" t="s">
        <v>125</v>
      </c>
      <c r="D133" s="10" t="s">
        <v>93</v>
      </c>
      <c r="E133" s="24">
        <f>14.935-0.05-0.297-0.048-0.05-0.097-0.342-0.631-0.047-0.632-1-0.5</f>
        <v>11.240999999999998</v>
      </c>
    </row>
    <row r="134" spans="1:5" ht="34">
      <c r="A134" s="35" t="s">
        <v>120</v>
      </c>
      <c r="B134" s="10" t="s">
        <v>10</v>
      </c>
      <c r="C134" s="10" t="s">
        <v>127</v>
      </c>
      <c r="D134" s="10" t="s">
        <v>67</v>
      </c>
      <c r="E134" s="24">
        <f>28.385-0.465-0.057-0.52-0.345-0.057-0.29-3.01-0.978-1.027-0.515-0.058-0.058-0.172-0.342-0.635-0.058-1.824-0.46-0.23-0.058-0.685-5</f>
        <v>11.541</v>
      </c>
    </row>
    <row r="135" spans="1:5" ht="34">
      <c r="A135" s="35" t="s">
        <v>120</v>
      </c>
      <c r="B135" s="2" t="s">
        <v>10</v>
      </c>
      <c r="C135" s="10" t="s">
        <v>125</v>
      </c>
      <c r="D135" s="1" t="s">
        <v>69</v>
      </c>
      <c r="E135" s="24">
        <f>10.035-0.116-0.172-0.173-0.395-0.109-0.113-0.055</f>
        <v>8.902000000000001</v>
      </c>
    </row>
    <row r="136" spans="1:5" ht="34">
      <c r="A136" s="35" t="s">
        <v>120</v>
      </c>
      <c r="B136" s="2" t="s">
        <v>10</v>
      </c>
      <c r="C136" s="1" t="s">
        <v>128</v>
      </c>
      <c r="D136" s="1" t="s">
        <v>129</v>
      </c>
      <c r="E136" s="25">
        <f>25.23-0.375-0.149-0.521-0.147-0.147-0.583-0.146-0.439-0.513-0.585-0.074-1.475-0.072-3.6-1</f>
        <v>15.403999999999996</v>
      </c>
    </row>
    <row r="137" spans="1:5" ht="34">
      <c r="A137" s="35" t="s">
        <v>120</v>
      </c>
      <c r="B137" s="10" t="s">
        <v>10</v>
      </c>
      <c r="C137" s="10" t="s">
        <v>130</v>
      </c>
      <c r="D137" s="10" t="s">
        <v>131</v>
      </c>
      <c r="E137" s="24">
        <f>18.79-0.24-0.36-0.605-0.12-0.364-0.244-0.12-0.977-1.972-0.119-0.123-0.12-0.731-0.971-0.121-0.5</f>
        <v>11.103</v>
      </c>
    </row>
    <row r="138" spans="1:5" ht="34">
      <c r="A138" s="35" t="s">
        <v>120</v>
      </c>
      <c r="B138" s="1" t="s">
        <v>10</v>
      </c>
      <c r="C138" s="1" t="s">
        <v>128</v>
      </c>
      <c r="D138" s="6" t="s">
        <v>132</v>
      </c>
      <c r="E138" s="25">
        <f>4.98-0.392-0.098-0.388-0.098-0.196-0.196-0.196-0.098-0.297-0.1-0.196-0.098-0.288-0.188-0.094-0.368-0.2</f>
        <v>1.4890000000000001</v>
      </c>
    </row>
    <row r="139" spans="1:5" ht="34">
      <c r="A139" s="35" t="s">
        <v>120</v>
      </c>
      <c r="B139" s="10" t="s">
        <v>10</v>
      </c>
      <c r="C139" s="10" t="s">
        <v>130</v>
      </c>
      <c r="D139" s="10" t="s">
        <v>133</v>
      </c>
      <c r="E139" s="24">
        <f>20.21-0.155-1.021-0.576-3.048-0.146-0.881-1.5</f>
        <v>12.882999999999997</v>
      </c>
    </row>
    <row r="140" spans="1:5" ht="34">
      <c r="A140" s="35" t="s">
        <v>120</v>
      </c>
      <c r="B140" s="10" t="s">
        <v>10</v>
      </c>
      <c r="C140" s="10" t="s">
        <v>134</v>
      </c>
      <c r="D140" s="10" t="s">
        <v>135</v>
      </c>
      <c r="E140" s="24">
        <f>4.06-1.8</f>
        <v>2.2599999999999998</v>
      </c>
    </row>
    <row r="141" spans="1:5" ht="34">
      <c r="A141" s="35" t="s">
        <v>120</v>
      </c>
      <c r="B141" s="10" t="s">
        <v>10</v>
      </c>
      <c r="C141" s="10" t="s">
        <v>134</v>
      </c>
      <c r="D141" s="10" t="s">
        <v>135</v>
      </c>
      <c r="E141" s="24">
        <f>5.22-1.819-1.365</f>
        <v>2.0359999999999996</v>
      </c>
    </row>
    <row r="142" spans="1:5" ht="34">
      <c r="A142" s="35" t="s">
        <v>120</v>
      </c>
      <c r="B142" s="1" t="s">
        <v>10</v>
      </c>
      <c r="C142" s="1" t="s">
        <v>128</v>
      </c>
      <c r="D142" s="6" t="s">
        <v>136</v>
      </c>
      <c r="E142" s="25">
        <f>23.42-1.149-0.764-0.192-0.191-0.57-0.573-0.383-1.911-2.104-2</f>
        <v>13.583000000000002</v>
      </c>
    </row>
    <row r="143" spans="1:5" ht="34">
      <c r="A143" s="35" t="s">
        <v>120</v>
      </c>
      <c r="B143" s="1" t="s">
        <v>10</v>
      </c>
      <c r="C143" s="1" t="s">
        <v>128</v>
      </c>
      <c r="D143" s="6" t="s">
        <v>137</v>
      </c>
      <c r="E143" s="25">
        <f>19.29-7.5-0.965-0.241-0.244-1.441-0.241-0.242-0.24-1.449-1.455-1.5</f>
        <v>3.7720000000000002</v>
      </c>
    </row>
    <row r="144" spans="1:5" ht="34">
      <c r="A144" s="35" t="s">
        <v>120</v>
      </c>
      <c r="B144" s="1" t="s">
        <v>10</v>
      </c>
      <c r="C144" s="1" t="s">
        <v>138</v>
      </c>
      <c r="D144" s="6" t="s">
        <v>139</v>
      </c>
      <c r="E144" s="25">
        <f>0.922-0.44</f>
        <v>0.48200000000000004</v>
      </c>
    </row>
    <row r="145" spans="1:5" ht="34">
      <c r="A145" s="35" t="s">
        <v>120</v>
      </c>
      <c r="B145" s="1" t="s">
        <v>10</v>
      </c>
      <c r="C145" s="1" t="s">
        <v>128</v>
      </c>
      <c r="D145" s="6" t="s">
        <v>140</v>
      </c>
      <c r="E145" s="25">
        <f>1.124-0.558-0.19</f>
        <v>0.37600000000000006</v>
      </c>
    </row>
    <row r="146" spans="1:5" ht="34">
      <c r="A146" s="35" t="s">
        <v>120</v>
      </c>
      <c r="B146" s="1" t="s">
        <v>10</v>
      </c>
      <c r="C146" s="1" t="s">
        <v>128</v>
      </c>
      <c r="D146" s="6" t="s">
        <v>141</v>
      </c>
      <c r="E146" s="25">
        <f>3.411-1.11</f>
        <v>2.3010000000000002</v>
      </c>
    </row>
    <row r="147" spans="1:5" ht="34">
      <c r="A147" s="35" t="s">
        <v>120</v>
      </c>
      <c r="B147" s="1" t="s">
        <v>10</v>
      </c>
      <c r="C147" s="1" t="s">
        <v>138</v>
      </c>
      <c r="D147" s="6" t="s">
        <v>141</v>
      </c>
      <c r="E147" s="25">
        <f>3.59</f>
        <v>3.59</v>
      </c>
    </row>
    <row r="148" spans="1:5" ht="34">
      <c r="A148" s="35" t="s">
        <v>120</v>
      </c>
      <c r="B148" s="1" t="s">
        <v>10</v>
      </c>
      <c r="C148" s="1" t="s">
        <v>128</v>
      </c>
      <c r="D148" s="6" t="s">
        <v>142</v>
      </c>
      <c r="E148" s="25">
        <f>2.856-1.41</f>
        <v>1.446</v>
      </c>
    </row>
    <row r="149" spans="1:5" ht="34">
      <c r="A149" s="35" t="s">
        <v>120</v>
      </c>
      <c r="B149" s="1" t="s">
        <v>10</v>
      </c>
      <c r="C149" s="1" t="s">
        <v>128</v>
      </c>
      <c r="D149" s="6" t="s">
        <v>143</v>
      </c>
      <c r="E149" s="25">
        <f>1.41-0.072</f>
        <v>1.3379999999999999</v>
      </c>
    </row>
    <row r="150" spans="1:5" ht="34">
      <c r="A150" s="35" t="s">
        <v>120</v>
      </c>
      <c r="B150" s="1" t="s">
        <v>10</v>
      </c>
      <c r="C150" s="1" t="s">
        <v>138</v>
      </c>
      <c r="D150" s="6" t="s">
        <v>142</v>
      </c>
      <c r="E150" s="25">
        <f>2.99</f>
        <v>2.99</v>
      </c>
    </row>
    <row r="151" spans="1:5" ht="34">
      <c r="A151" s="35" t="s">
        <v>120</v>
      </c>
      <c r="B151" s="1" t="s">
        <v>10</v>
      </c>
      <c r="C151" s="1" t="s">
        <v>128</v>
      </c>
      <c r="D151" s="6" t="s">
        <v>144</v>
      </c>
      <c r="E151" s="25">
        <f>1.334-0.092-(0.002)-0.072-0.15-(0.004)-0.798-(0.018)</f>
        <v>0.19799999999999998</v>
      </c>
    </row>
    <row r="152" spans="1:5" ht="34">
      <c r="A152" s="35" t="s">
        <v>120</v>
      </c>
      <c r="B152" s="1" t="s">
        <v>10</v>
      </c>
      <c r="C152" s="1" t="s">
        <v>128</v>
      </c>
      <c r="D152" s="6" t="s">
        <v>145</v>
      </c>
      <c r="E152" s="25">
        <f>1.785</f>
        <v>1.7849999999999999</v>
      </c>
    </row>
    <row r="153" spans="1:5" ht="34">
      <c r="A153" s="35" t="s">
        <v>120</v>
      </c>
      <c r="B153" s="1" t="s">
        <v>10</v>
      </c>
      <c r="C153" s="1" t="s">
        <v>138</v>
      </c>
      <c r="D153" s="6" t="s">
        <v>146</v>
      </c>
      <c r="E153" s="25">
        <f>4.48</f>
        <v>4.4800000000000004</v>
      </c>
    </row>
    <row r="154" spans="1:5" ht="45">
      <c r="A154" s="35" t="s">
        <v>120</v>
      </c>
      <c r="B154" s="1" t="s">
        <v>32</v>
      </c>
      <c r="C154" s="14" t="s">
        <v>147</v>
      </c>
      <c r="D154" s="6" t="s">
        <v>69</v>
      </c>
      <c r="E154" s="27">
        <f>1.88-0.058-0.054-0.052-0.055</f>
        <v>1.6609999999999998</v>
      </c>
    </row>
    <row r="155" spans="1:5" ht="34">
      <c r="A155" s="35" t="s">
        <v>120</v>
      </c>
      <c r="B155" s="1" t="s">
        <v>32</v>
      </c>
      <c r="C155" s="14" t="s">
        <v>148</v>
      </c>
      <c r="D155" s="6" t="s">
        <v>149</v>
      </c>
      <c r="E155" s="27">
        <f>3.97-0.3-0.996-0.062-0.064-0.062-0.062-0.315-0.939-0.184-0.063-0.5</f>
        <v>0.42300000000000093</v>
      </c>
    </row>
    <row r="156" spans="1:5" ht="34">
      <c r="A156" s="35" t="s">
        <v>120</v>
      </c>
      <c r="B156" s="10" t="s">
        <v>32</v>
      </c>
      <c r="C156" s="9" t="s">
        <v>150</v>
      </c>
      <c r="D156" s="11" t="s">
        <v>149</v>
      </c>
      <c r="E156" s="25">
        <f>2.925</f>
        <v>2.9249999999999998</v>
      </c>
    </row>
    <row r="157" spans="1:5" ht="34">
      <c r="A157" s="35" t="s">
        <v>120</v>
      </c>
      <c r="B157" s="10" t="s">
        <v>32</v>
      </c>
      <c r="C157" s="9" t="s">
        <v>150</v>
      </c>
      <c r="D157" s="11" t="s">
        <v>133</v>
      </c>
      <c r="E157" s="25">
        <f>4.585-0.144-1.454-0.561-0.14-0.707-0.144-0.848-0.144-0.144</f>
        <v>0.29900000000000027</v>
      </c>
    </row>
    <row r="158" spans="1:5" ht="34">
      <c r="A158" s="35" t="s">
        <v>120</v>
      </c>
      <c r="B158" s="10" t="s">
        <v>32</v>
      </c>
      <c r="C158" s="9" t="s">
        <v>151</v>
      </c>
      <c r="D158" s="11" t="s">
        <v>152</v>
      </c>
      <c r="E158" s="25">
        <f>2.09-1.7</f>
        <v>0.3899999999999999</v>
      </c>
    </row>
    <row r="159" spans="1:5" ht="34">
      <c r="A159" s="35" t="s">
        <v>120</v>
      </c>
      <c r="B159" s="10" t="s">
        <v>32</v>
      </c>
      <c r="C159" s="9" t="s">
        <v>150</v>
      </c>
      <c r="D159" s="11" t="s">
        <v>136</v>
      </c>
      <c r="E159" s="25">
        <f>3.87-0.193-0.949</f>
        <v>2.7280000000000002</v>
      </c>
    </row>
    <row r="160" spans="1:5" ht="34">
      <c r="A160" s="35" t="s">
        <v>120</v>
      </c>
      <c r="B160" s="10" t="s">
        <v>32</v>
      </c>
      <c r="C160" s="9" t="s">
        <v>151</v>
      </c>
      <c r="D160" s="11" t="s">
        <v>153</v>
      </c>
      <c r="E160" s="25">
        <f>0.48-0.096-0.15-0.08</f>
        <v>0.15400000000000003</v>
      </c>
    </row>
    <row r="161" spans="1:5" ht="34">
      <c r="A161" s="35" t="s">
        <v>120</v>
      </c>
      <c r="B161" s="10" t="s">
        <v>32</v>
      </c>
      <c r="C161" s="9" t="s">
        <v>150</v>
      </c>
      <c r="D161" s="11" t="s">
        <v>137</v>
      </c>
      <c r="E161" s="25">
        <f>4.39-1.217</f>
        <v>3.1729999999999996</v>
      </c>
    </row>
    <row r="162" spans="1:5" ht="34">
      <c r="A162" s="35" t="s">
        <v>120</v>
      </c>
      <c r="B162" s="1" t="s">
        <v>32</v>
      </c>
      <c r="C162" s="14" t="s">
        <v>148</v>
      </c>
      <c r="D162" s="6" t="s">
        <v>154</v>
      </c>
      <c r="E162" s="25">
        <f>7.73-0.704-0.688-0.709-0.701-2.84</f>
        <v>2.0880000000000019</v>
      </c>
    </row>
    <row r="163" spans="1:5" ht="34">
      <c r="A163" s="35" t="s">
        <v>120</v>
      </c>
      <c r="B163" s="1" t="s">
        <v>32</v>
      </c>
      <c r="C163" s="14" t="s">
        <v>148</v>
      </c>
      <c r="D163" s="6" t="s">
        <v>155</v>
      </c>
      <c r="E163" s="25">
        <f>0.704-0.18-0.352</f>
        <v>0.17200000000000004</v>
      </c>
    </row>
    <row r="164" spans="1:5" ht="34">
      <c r="A164" s="35" t="s">
        <v>120</v>
      </c>
      <c r="B164" s="1" t="s">
        <v>32</v>
      </c>
      <c r="C164" s="14" t="s">
        <v>148</v>
      </c>
      <c r="D164" s="6" t="s">
        <v>156</v>
      </c>
      <c r="E164" s="25">
        <f>0.688-0.308</f>
        <v>0.37999999999999995</v>
      </c>
    </row>
    <row r="165" spans="1:5" ht="34">
      <c r="A165" s="35" t="s">
        <v>120</v>
      </c>
      <c r="B165" s="1" t="s">
        <v>32</v>
      </c>
      <c r="C165" s="14" t="s">
        <v>148</v>
      </c>
      <c r="D165" s="6" t="s">
        <v>157</v>
      </c>
      <c r="E165" s="25">
        <f>4.85-0.97-1.94</f>
        <v>1.94</v>
      </c>
    </row>
    <row r="166" spans="1:5" ht="34">
      <c r="A166" s="35" t="s">
        <v>120</v>
      </c>
      <c r="B166" s="1" t="s">
        <v>32</v>
      </c>
      <c r="C166" s="14" t="s">
        <v>148</v>
      </c>
      <c r="D166" s="6" t="s">
        <v>158</v>
      </c>
      <c r="E166" s="25">
        <f>0.97-0.05-0.05-0.05</f>
        <v>0.81999999999999984</v>
      </c>
    </row>
    <row r="167" spans="1:5" ht="34">
      <c r="A167" s="35" t="s">
        <v>120</v>
      </c>
      <c r="B167" s="1" t="s">
        <v>32</v>
      </c>
      <c r="C167" s="14" t="s">
        <v>148</v>
      </c>
      <c r="D167" s="6" t="s">
        <v>157</v>
      </c>
      <c r="E167" s="25">
        <f>2.92</f>
        <v>2.92</v>
      </c>
    </row>
    <row r="168" spans="1:5" ht="34">
      <c r="A168" s="35" t="s">
        <v>120</v>
      </c>
      <c r="B168" s="1" t="s">
        <v>32</v>
      </c>
      <c r="C168" s="14" t="s">
        <v>148</v>
      </c>
      <c r="D168" s="6" t="s">
        <v>157</v>
      </c>
      <c r="E168" s="25">
        <f>3.88</f>
        <v>3.88</v>
      </c>
    </row>
    <row r="169" spans="1:5" ht="34">
      <c r="A169" s="35" t="s">
        <v>120</v>
      </c>
      <c r="B169" s="1" t="s">
        <v>32</v>
      </c>
      <c r="C169" s="14" t="s">
        <v>148</v>
      </c>
      <c r="D169" s="6" t="s">
        <v>159</v>
      </c>
      <c r="E169" s="25">
        <f>1.12-0.564+(0.002)</f>
        <v>0.55800000000000016</v>
      </c>
    </row>
    <row r="170" spans="1:5" ht="34">
      <c r="A170" s="35" t="s">
        <v>120</v>
      </c>
      <c r="B170" s="1" t="s">
        <v>32</v>
      </c>
      <c r="C170" s="14" t="s">
        <v>148</v>
      </c>
      <c r="D170" s="6" t="s">
        <v>160</v>
      </c>
      <c r="E170" s="25">
        <f>2.63</f>
        <v>2.63</v>
      </c>
    </row>
    <row r="171" spans="1:5" ht="34">
      <c r="A171" s="35" t="s">
        <v>120</v>
      </c>
      <c r="B171" s="1" t="s">
        <v>32</v>
      </c>
      <c r="C171" s="14" t="s">
        <v>161</v>
      </c>
      <c r="D171" s="6" t="s">
        <v>162</v>
      </c>
      <c r="E171" s="25">
        <f>2.68-1.329</f>
        <v>1.3510000000000002</v>
      </c>
    </row>
    <row r="172" spans="1:5" ht="34">
      <c r="A172" s="35" t="s">
        <v>120</v>
      </c>
      <c r="B172" s="1" t="s">
        <v>32</v>
      </c>
      <c r="C172" s="14" t="s">
        <v>163</v>
      </c>
      <c r="D172" s="6" t="s">
        <v>164</v>
      </c>
      <c r="E172" s="25">
        <f>1.686-0.248-0.182+(0.002)-0.722</f>
        <v>0.53600000000000003</v>
      </c>
    </row>
    <row r="173" spans="1:5" ht="45">
      <c r="A173" s="35" t="s">
        <v>120</v>
      </c>
      <c r="B173" s="1" t="s">
        <v>48</v>
      </c>
      <c r="C173" s="1" t="s">
        <v>165</v>
      </c>
      <c r="D173" s="1" t="s">
        <v>92</v>
      </c>
      <c r="E173" s="25">
        <f>3.42-0.104-0.034-0.034-0.704-0.066-0.032-0.064-0.034-0.394-1.776-0.032-0.098+(0.02)-0.032</f>
        <v>3.6000000000000601E-2</v>
      </c>
    </row>
    <row r="174" spans="1:5" ht="45">
      <c r="A174" s="35" t="s">
        <v>120</v>
      </c>
      <c r="B174" s="1" t="s">
        <v>48</v>
      </c>
      <c r="C174" s="1" t="s">
        <v>165</v>
      </c>
      <c r="D174" s="10" t="s">
        <v>126</v>
      </c>
      <c r="E174" s="25">
        <f>3.71-0.494-0.576-0.332-0.206-0.04-0.04-0.158-0.04-0.04-0.038-0.08</f>
        <v>1.6660000000000001</v>
      </c>
    </row>
    <row r="175" spans="1:5" ht="34">
      <c r="A175" s="35" t="s">
        <v>120</v>
      </c>
      <c r="B175" s="1" t="s">
        <v>48</v>
      </c>
      <c r="C175" s="1" t="s">
        <v>166</v>
      </c>
      <c r="D175" s="10" t="s">
        <v>126</v>
      </c>
      <c r="E175" s="25">
        <f>3.09-0.326-0.202</f>
        <v>2.5619999999999998</v>
      </c>
    </row>
    <row r="176" spans="1:5" ht="45">
      <c r="A176" s="35" t="s">
        <v>120</v>
      </c>
      <c r="B176" s="1" t="s">
        <v>48</v>
      </c>
      <c r="C176" s="1" t="s">
        <v>165</v>
      </c>
      <c r="D176" s="10" t="s">
        <v>167</v>
      </c>
      <c r="E176" s="25">
        <f>9.105-3.035-0.246-0.974-1.778-2.002-0.532-0.048-0.05-0.048-0.047-0.093-0.195</f>
        <v>5.6999999999999884E-2</v>
      </c>
    </row>
    <row r="177" spans="1:5" ht="45">
      <c r="A177" s="35" t="s">
        <v>120</v>
      </c>
      <c r="B177" s="1" t="s">
        <v>48</v>
      </c>
      <c r="C177" s="1" t="s">
        <v>165</v>
      </c>
      <c r="D177" s="10" t="s">
        <v>167</v>
      </c>
      <c r="E177" s="25">
        <f>4.975</f>
        <v>4.9749999999999996</v>
      </c>
    </row>
    <row r="178" spans="1:5" ht="45">
      <c r="A178" s="35" t="s">
        <v>120</v>
      </c>
      <c r="B178" s="1" t="s">
        <v>48</v>
      </c>
      <c r="C178" s="1" t="s">
        <v>165</v>
      </c>
      <c r="D178" s="10" t="s">
        <v>69</v>
      </c>
      <c r="E178" s="25">
        <f>5.445</f>
        <v>5.4450000000000003</v>
      </c>
    </row>
    <row r="179" spans="1:5" ht="45">
      <c r="A179" s="35" t="s">
        <v>120</v>
      </c>
      <c r="B179" s="1" t="s">
        <v>48</v>
      </c>
      <c r="C179" s="1" t="s">
        <v>168</v>
      </c>
      <c r="D179" s="10" t="s">
        <v>169</v>
      </c>
      <c r="E179" s="25">
        <f>21.17-2.792-0.962-0.287-0.097-0.479-0.579-1-0.531-1.531-0.096-0.096-1.7-1.056</f>
        <v>9.9639999999999986</v>
      </c>
    </row>
    <row r="180" spans="1:5" ht="45">
      <c r="A180" s="35" t="s">
        <v>120</v>
      </c>
      <c r="B180" s="1" t="s">
        <v>48</v>
      </c>
      <c r="C180" s="1" t="s">
        <v>170</v>
      </c>
      <c r="D180" s="10" t="s">
        <v>171</v>
      </c>
      <c r="E180" s="27">
        <f>1.978-0.342-0.07-0.346-0.479-0.136-0.068</f>
        <v>0.5369999999999997</v>
      </c>
    </row>
    <row r="181" spans="1:5" ht="45">
      <c r="A181" s="35" t="s">
        <v>120</v>
      </c>
      <c r="B181" s="1" t="s">
        <v>48</v>
      </c>
      <c r="C181" s="1" t="s">
        <v>170</v>
      </c>
      <c r="D181" s="10" t="s">
        <v>171</v>
      </c>
      <c r="E181" s="27">
        <f>2.795</f>
        <v>2.7949999999999999</v>
      </c>
    </row>
    <row r="182" spans="1:5" ht="45">
      <c r="A182" s="35" t="s">
        <v>120</v>
      </c>
      <c r="B182" s="2" t="s">
        <v>48</v>
      </c>
      <c r="C182" s="1" t="s">
        <v>172</v>
      </c>
      <c r="D182" s="1" t="s">
        <v>173</v>
      </c>
      <c r="E182" s="25">
        <f>0.414-0.29</f>
        <v>0.124</v>
      </c>
    </row>
    <row r="183" spans="1:5" ht="45">
      <c r="A183" s="35" t="s">
        <v>120</v>
      </c>
      <c r="B183" s="2" t="s">
        <v>48</v>
      </c>
      <c r="C183" s="10" t="s">
        <v>174</v>
      </c>
      <c r="D183" s="8" t="s">
        <v>154</v>
      </c>
      <c r="E183" s="24">
        <f>21.76-1.358-0.681-0.674-2.719-0.679-1.355-1.356-0.678-3.404-3.41-0.681-3.384-0.714</f>
        <v>0.66699999999999804</v>
      </c>
    </row>
    <row r="184" spans="1:5" ht="45">
      <c r="A184" s="35" t="s">
        <v>120</v>
      </c>
      <c r="B184" s="2" t="s">
        <v>48</v>
      </c>
      <c r="C184" s="10" t="s">
        <v>174</v>
      </c>
      <c r="D184" s="8" t="s">
        <v>175</v>
      </c>
      <c r="E184" s="24">
        <f>0.674-0.056-0.048-0.058-0.338</f>
        <v>0.17399999999999988</v>
      </c>
    </row>
    <row r="185" spans="1:5" ht="34">
      <c r="A185" s="35" t="s">
        <v>120</v>
      </c>
      <c r="B185" s="2" t="s">
        <v>48</v>
      </c>
      <c r="C185" s="10" t="s">
        <v>176</v>
      </c>
      <c r="D185" s="1" t="s">
        <v>177</v>
      </c>
      <c r="E185" s="25">
        <f>0.86-0.286-0.072-(0.01)-0.1-(0.002)-0.1-(0.002)-0.036-0.036-0.086-0.05-(0.002)</f>
        <v>7.8000000000000166E-2</v>
      </c>
    </row>
    <row r="186" spans="1:5" ht="34">
      <c r="A186" s="35" t="s">
        <v>120</v>
      </c>
      <c r="B186" s="2" t="s">
        <v>48</v>
      </c>
      <c r="C186" s="10" t="s">
        <v>176</v>
      </c>
      <c r="D186" s="1" t="s">
        <v>178</v>
      </c>
      <c r="E186" s="25">
        <f>0.782-0.432+(0.012)-0.218</f>
        <v>0.14400000000000004</v>
      </c>
    </row>
    <row r="187" spans="1:5" ht="45">
      <c r="A187" s="35" t="s">
        <v>120</v>
      </c>
      <c r="B187" s="2" t="s">
        <v>48</v>
      </c>
      <c r="C187" s="1" t="s">
        <v>179</v>
      </c>
      <c r="D187" s="1" t="s">
        <v>180</v>
      </c>
      <c r="E187" s="25">
        <f>2.664-1.776-0.216-(0.006)-0.148-(0.006)-0.074</f>
        <v>0.43800000000000011</v>
      </c>
    </row>
    <row r="188" spans="1:5" ht="34">
      <c r="A188" s="35" t="s">
        <v>120</v>
      </c>
      <c r="B188" s="2" t="s">
        <v>48</v>
      </c>
      <c r="C188" s="10" t="s">
        <v>176</v>
      </c>
      <c r="D188" s="1" t="s">
        <v>181</v>
      </c>
      <c r="E188" s="27">
        <f>0.91-0.082-0.026-0.196-0.082-0.044-(0.002)-0.042-0.05-0.04-(0.002)-0.042-0.066-0.05-(0.002)-0.042-0.05</f>
        <v>9.2000000000000207E-2</v>
      </c>
    </row>
    <row r="189" spans="1:5" ht="34">
      <c r="A189" s="35" t="s">
        <v>120</v>
      </c>
      <c r="B189" s="10" t="s">
        <v>48</v>
      </c>
      <c r="C189" s="10" t="s">
        <v>176</v>
      </c>
      <c r="D189" s="10" t="s">
        <v>182</v>
      </c>
      <c r="E189" s="25">
        <f>0.982-0.486-0.082-(0.002)-0.042-(0.002)</f>
        <v>0.36799999999999999</v>
      </c>
    </row>
    <row r="190" spans="1:5" ht="34">
      <c r="A190" s="35" t="s">
        <v>120</v>
      </c>
      <c r="B190" s="10" t="s">
        <v>48</v>
      </c>
      <c r="C190" s="10" t="s">
        <v>176</v>
      </c>
      <c r="D190" s="10" t="s">
        <v>183</v>
      </c>
      <c r="E190" s="25">
        <f>15.924-11.92-1.328</f>
        <v>2.6759999999999993</v>
      </c>
    </row>
    <row r="191" spans="1:5" ht="34">
      <c r="A191" s="35" t="s">
        <v>120</v>
      </c>
      <c r="B191" s="2" t="s">
        <v>48</v>
      </c>
      <c r="C191" s="10" t="s">
        <v>176</v>
      </c>
      <c r="D191" s="1" t="s">
        <v>184</v>
      </c>
      <c r="E191" s="27">
        <f>3.195-1.035-1.03</f>
        <v>1.1300000000000001</v>
      </c>
    </row>
    <row r="192" spans="1:5" ht="34">
      <c r="A192" s="35" t="s">
        <v>120</v>
      </c>
      <c r="B192" s="2" t="s">
        <v>48</v>
      </c>
      <c r="C192" s="10" t="s">
        <v>185</v>
      </c>
      <c r="D192" s="1" t="s">
        <v>184</v>
      </c>
      <c r="E192" s="27">
        <f>3.195-1.03</f>
        <v>2.165</v>
      </c>
    </row>
    <row r="193" spans="1:5" ht="34">
      <c r="A193" s="35" t="s">
        <v>120</v>
      </c>
      <c r="B193" s="2" t="s">
        <v>48</v>
      </c>
      <c r="C193" s="10" t="s">
        <v>185</v>
      </c>
      <c r="D193" s="1" t="s">
        <v>186</v>
      </c>
      <c r="E193" s="27">
        <f>1.03-0.35+(0.01)</f>
        <v>0.69000000000000006</v>
      </c>
    </row>
    <row r="194" spans="1:5" ht="34">
      <c r="A194" s="35" t="s">
        <v>120</v>
      </c>
      <c r="B194" s="2" t="s">
        <v>48</v>
      </c>
      <c r="C194" s="10" t="s">
        <v>176</v>
      </c>
      <c r="D194" s="1" t="s">
        <v>187</v>
      </c>
      <c r="E194" s="25">
        <f>2.57-1.266-0.102-0.03-0.214-0.204-0.108-0.15-(0.004)-0.43</f>
        <v>6.1999999999999778E-2</v>
      </c>
    </row>
    <row r="195" spans="1:5" ht="34">
      <c r="A195" s="35" t="s">
        <v>120</v>
      </c>
      <c r="B195" s="2" t="s">
        <v>48</v>
      </c>
      <c r="C195" s="10" t="s">
        <v>176</v>
      </c>
      <c r="D195" s="1" t="s">
        <v>188</v>
      </c>
      <c r="E195" s="25">
        <f>1.266-0.528-0.126-0.214-0.108-0.118-0.056</f>
        <v>0.11600000000000005</v>
      </c>
    </row>
    <row r="196" spans="1:5" ht="34">
      <c r="A196" s="35" t="s">
        <v>120</v>
      </c>
      <c r="B196" s="2" t="s">
        <v>48</v>
      </c>
      <c r="C196" s="10" t="s">
        <v>176</v>
      </c>
      <c r="D196" s="1" t="s">
        <v>189</v>
      </c>
      <c r="E196" s="25">
        <f>1.285-0.356-(0.007)-0.39-(0.006)-0.39</f>
        <v>0.1359999999999999</v>
      </c>
    </row>
    <row r="197" spans="1:5" ht="34">
      <c r="A197" s="35" t="s">
        <v>120</v>
      </c>
      <c r="B197" s="2" t="s">
        <v>48</v>
      </c>
      <c r="C197" s="10" t="s">
        <v>190</v>
      </c>
      <c r="D197" s="1" t="s">
        <v>191</v>
      </c>
      <c r="E197" s="25">
        <f>2.57-1.266-0.21-(0.038)-0.212-0.108</f>
        <v>0.73599999999999988</v>
      </c>
    </row>
    <row r="198" spans="1:5" ht="34">
      <c r="A198" s="35" t="s">
        <v>120</v>
      </c>
      <c r="B198" s="2" t="s">
        <v>48</v>
      </c>
      <c r="C198" s="10" t="s">
        <v>176</v>
      </c>
      <c r="D198" s="1" t="s">
        <v>192</v>
      </c>
      <c r="E198" s="25">
        <f>5.14-1.244</f>
        <v>3.8959999999999999</v>
      </c>
    </row>
    <row r="199" spans="1:5" ht="34">
      <c r="A199" s="35" t="s">
        <v>120</v>
      </c>
      <c r="B199" s="2" t="s">
        <v>48</v>
      </c>
      <c r="C199" s="10" t="s">
        <v>176</v>
      </c>
      <c r="D199" s="1" t="s">
        <v>193</v>
      </c>
      <c r="E199" s="25">
        <f>1.244-0.35</f>
        <v>0.89400000000000002</v>
      </c>
    </row>
    <row r="200" spans="1:5" ht="34">
      <c r="A200" s="35" t="s">
        <v>120</v>
      </c>
      <c r="B200" s="2" t="s">
        <v>48</v>
      </c>
      <c r="C200" s="10" t="s">
        <v>176</v>
      </c>
      <c r="D200" s="1" t="s">
        <v>194</v>
      </c>
      <c r="E200" s="25">
        <f>1.384-0.23-0.186-0.013-0.464-(0.001)-0.164-0.094-(0.002)</f>
        <v>0.22999999999999995</v>
      </c>
    </row>
    <row r="201" spans="1:5" ht="34">
      <c r="A201" s="35" t="s">
        <v>120</v>
      </c>
      <c r="B201" s="2" t="s">
        <v>48</v>
      </c>
      <c r="C201" s="10" t="s">
        <v>176</v>
      </c>
      <c r="D201" s="1" t="s">
        <v>142</v>
      </c>
      <c r="E201" s="25">
        <f>5.712-1.4-1.385</f>
        <v>2.9269999999999996</v>
      </c>
    </row>
    <row r="202" spans="1:5" ht="34">
      <c r="A202" s="35" t="s">
        <v>120</v>
      </c>
      <c r="B202" s="2" t="s">
        <v>48</v>
      </c>
      <c r="C202" s="10" t="s">
        <v>176</v>
      </c>
      <c r="D202" s="1" t="s">
        <v>195</v>
      </c>
      <c r="E202" s="25">
        <f>1.4-0.188-0.236-(0.002)</f>
        <v>0.97399999999999998</v>
      </c>
    </row>
    <row r="203" spans="1:5" ht="34">
      <c r="A203" s="35" t="s">
        <v>120</v>
      </c>
      <c r="B203" s="2" t="s">
        <v>48</v>
      </c>
      <c r="C203" s="10" t="s">
        <v>196</v>
      </c>
      <c r="D203" s="1" t="s">
        <v>197</v>
      </c>
      <c r="E203" s="25">
        <f>2.856-1.401-0.698-(0.055)</f>
        <v>0.70199999999999985</v>
      </c>
    </row>
    <row r="204" spans="1:5" ht="34">
      <c r="A204" s="35" t="s">
        <v>120</v>
      </c>
      <c r="B204" s="2" t="s">
        <v>48</v>
      </c>
      <c r="C204" s="10" t="s">
        <v>176</v>
      </c>
      <c r="D204" s="1" t="s">
        <v>142</v>
      </c>
      <c r="E204" s="25">
        <f>5.712-2.2-1.428</f>
        <v>2.0839999999999996</v>
      </c>
    </row>
    <row r="205" spans="1:5" ht="34">
      <c r="A205" s="35" t="s">
        <v>120</v>
      </c>
      <c r="B205" s="2" t="s">
        <v>48</v>
      </c>
      <c r="C205" s="10" t="s">
        <v>176</v>
      </c>
      <c r="D205" s="1" t="s">
        <v>198</v>
      </c>
      <c r="E205" s="25">
        <f>3.142-1.544</f>
        <v>1.5979999999999999</v>
      </c>
    </row>
    <row r="206" spans="1:5" ht="34">
      <c r="A206" s="35" t="s">
        <v>120</v>
      </c>
      <c r="B206" s="2" t="s">
        <v>48</v>
      </c>
      <c r="C206" s="10" t="s">
        <v>176</v>
      </c>
      <c r="D206" s="1" t="s">
        <v>199</v>
      </c>
      <c r="E206" s="25">
        <f>1.544-0.13-0.022</f>
        <v>1.3920000000000001</v>
      </c>
    </row>
    <row r="207" spans="1:5" ht="34">
      <c r="A207" s="35" t="s">
        <v>120</v>
      </c>
      <c r="B207" s="2" t="s">
        <v>48</v>
      </c>
      <c r="C207" s="10" t="s">
        <v>176</v>
      </c>
      <c r="D207" s="1" t="s">
        <v>198</v>
      </c>
      <c r="E207" s="25">
        <f>3.142</f>
        <v>3.1419999999999999</v>
      </c>
    </row>
    <row r="208" spans="1:5" ht="34">
      <c r="A208" s="35" t="s">
        <v>120</v>
      </c>
      <c r="B208" s="2" t="s">
        <v>48</v>
      </c>
      <c r="C208" s="10" t="s">
        <v>176</v>
      </c>
      <c r="D208" s="1" t="s">
        <v>200</v>
      </c>
      <c r="E208" s="25">
        <f>3.57-1.744-1.166-(0.086)</f>
        <v>0.57399999999999995</v>
      </c>
    </row>
    <row r="209" spans="1:5" ht="34">
      <c r="A209" s="35" t="s">
        <v>120</v>
      </c>
      <c r="B209" s="2" t="s">
        <v>48</v>
      </c>
      <c r="C209" s="10" t="s">
        <v>176</v>
      </c>
      <c r="D209" s="1" t="s">
        <v>145</v>
      </c>
      <c r="E209" s="25">
        <f>3.57</f>
        <v>3.57</v>
      </c>
    </row>
    <row r="210" spans="1:5" ht="34">
      <c r="A210" s="35" t="s">
        <v>120</v>
      </c>
      <c r="B210" s="2" t="s">
        <v>48</v>
      </c>
      <c r="C210" s="10" t="s">
        <v>201</v>
      </c>
      <c r="D210" s="1" t="s">
        <v>145</v>
      </c>
      <c r="E210" s="25">
        <f>3.57-1.785</f>
        <v>1.7849999999999999</v>
      </c>
    </row>
    <row r="211" spans="1:5" ht="34">
      <c r="A211" s="35" t="s">
        <v>120</v>
      </c>
      <c r="B211" s="2" t="s">
        <v>48</v>
      </c>
      <c r="C211" s="10" t="s">
        <v>201</v>
      </c>
      <c r="D211" s="1" t="s">
        <v>202</v>
      </c>
      <c r="E211" s="25">
        <f>1.785-0.151</f>
        <v>1.6339999999999999</v>
      </c>
    </row>
    <row r="212" spans="1:5" ht="34">
      <c r="A212" s="35" t="s">
        <v>120</v>
      </c>
      <c r="B212" s="2" t="s">
        <v>48</v>
      </c>
      <c r="C212" s="10" t="s">
        <v>176</v>
      </c>
      <c r="D212" s="1" t="s">
        <v>203</v>
      </c>
      <c r="E212" s="25">
        <f>3.998-1.956-0.294-0.98-(0.09)-0.328</f>
        <v>0.35000000000000026</v>
      </c>
    </row>
    <row r="213" spans="1:5" ht="34">
      <c r="A213" s="35" t="s">
        <v>120</v>
      </c>
      <c r="B213" s="2" t="s">
        <v>48</v>
      </c>
      <c r="C213" s="10" t="s">
        <v>176</v>
      </c>
      <c r="D213" s="1" t="s">
        <v>204</v>
      </c>
      <c r="E213" s="25">
        <f>1.97-0.328</f>
        <v>1.6419999999999999</v>
      </c>
    </row>
    <row r="214" spans="1:5" ht="34">
      <c r="A214" s="35" t="s">
        <v>120</v>
      </c>
      <c r="B214" s="2" t="s">
        <v>48</v>
      </c>
      <c r="C214" s="10" t="s">
        <v>176</v>
      </c>
      <c r="D214" s="1" t="s">
        <v>205</v>
      </c>
      <c r="E214" s="25">
        <f>0.084</f>
        <v>8.4000000000000005E-2</v>
      </c>
    </row>
    <row r="215" spans="1:5" ht="34">
      <c r="A215" s="35" t="s">
        <v>120</v>
      </c>
      <c r="B215" s="2" t="s">
        <v>48</v>
      </c>
      <c r="C215" s="10" t="s">
        <v>176</v>
      </c>
      <c r="D215" s="1" t="s">
        <v>206</v>
      </c>
      <c r="E215" s="25">
        <f>0.042</f>
        <v>4.2000000000000003E-2</v>
      </c>
    </row>
    <row r="216" spans="1:5" ht="34">
      <c r="A216" s="35" t="s">
        <v>120</v>
      </c>
      <c r="B216" s="2" t="s">
        <v>48</v>
      </c>
      <c r="C216" s="10" t="s">
        <v>176</v>
      </c>
      <c r="D216" s="1" t="s">
        <v>207</v>
      </c>
      <c r="E216" s="25">
        <f>2.09-0.488-1.046-(0.004)-0.07-(0.002)</f>
        <v>0.47999999999999982</v>
      </c>
    </row>
    <row r="217" spans="1:5" ht="34">
      <c r="A217" s="35" t="s">
        <v>120</v>
      </c>
      <c r="B217" s="2" t="s">
        <v>48</v>
      </c>
      <c r="C217" s="10" t="s">
        <v>176</v>
      </c>
      <c r="D217" s="1" t="s">
        <v>208</v>
      </c>
      <c r="E217" s="25">
        <f>8.82-2.14-2.148-2.15</f>
        <v>2.3820000000000001</v>
      </c>
    </row>
    <row r="218" spans="1:5" ht="34">
      <c r="A218" s="35" t="s">
        <v>120</v>
      </c>
      <c r="B218" s="2" t="s">
        <v>48</v>
      </c>
      <c r="C218" s="10" t="s">
        <v>176</v>
      </c>
      <c r="D218" s="1" t="s">
        <v>146</v>
      </c>
      <c r="E218" s="25">
        <f>4.284-2.2</f>
        <v>2.0839999999999996</v>
      </c>
    </row>
    <row r="219" spans="1:5" ht="34">
      <c r="A219" s="35" t="s">
        <v>120</v>
      </c>
      <c r="B219" s="2" t="s">
        <v>48</v>
      </c>
      <c r="C219" s="10" t="s">
        <v>176</v>
      </c>
      <c r="D219" s="1" t="s">
        <v>146</v>
      </c>
      <c r="E219" s="25">
        <f>4.284</f>
        <v>4.2839999999999998</v>
      </c>
    </row>
    <row r="220" spans="1:5" ht="34">
      <c r="A220" s="35" t="s">
        <v>120</v>
      </c>
      <c r="B220" s="2" t="s">
        <v>48</v>
      </c>
      <c r="C220" s="10" t="s">
        <v>176</v>
      </c>
      <c r="D220" s="1" t="s">
        <v>209</v>
      </c>
      <c r="E220" s="25">
        <f>2.5</f>
        <v>2.5</v>
      </c>
    </row>
    <row r="221" spans="1:5" ht="34">
      <c r="A221" s="35" t="s">
        <v>120</v>
      </c>
      <c r="B221" s="2" t="s">
        <v>48</v>
      </c>
      <c r="C221" s="10" t="s">
        <v>176</v>
      </c>
      <c r="D221" s="1" t="s">
        <v>210</v>
      </c>
      <c r="E221" s="25">
        <f>7.86-2.58</f>
        <v>5.28</v>
      </c>
    </row>
    <row r="222" spans="1:5" ht="34">
      <c r="A222" s="35" t="s">
        <v>120</v>
      </c>
      <c r="B222" s="2" t="s">
        <v>48</v>
      </c>
      <c r="C222" s="10" t="s">
        <v>176</v>
      </c>
      <c r="D222" s="1" t="s">
        <v>211</v>
      </c>
      <c r="E222" s="25">
        <f>2.58-0.638-0.304-0.648-(0.004)</f>
        <v>0.9860000000000001</v>
      </c>
    </row>
    <row r="223" spans="1:5" ht="34">
      <c r="A223" s="35" t="s">
        <v>120</v>
      </c>
      <c r="B223" s="2" t="s">
        <v>48</v>
      </c>
      <c r="C223" s="10" t="s">
        <v>176</v>
      </c>
      <c r="D223" s="1" t="s">
        <v>212</v>
      </c>
      <c r="E223" s="25">
        <f>2.925-1.46</f>
        <v>1.4649999999999999</v>
      </c>
    </row>
    <row r="224" spans="1:5" ht="34">
      <c r="A224" s="35" t="s">
        <v>120</v>
      </c>
      <c r="B224" s="2" t="s">
        <v>48</v>
      </c>
      <c r="C224" s="10" t="s">
        <v>176</v>
      </c>
      <c r="D224" s="1" t="s">
        <v>213</v>
      </c>
      <c r="E224" s="25">
        <f>20.22-2.924</f>
        <v>17.295999999999999</v>
      </c>
    </row>
    <row r="225" spans="1:5" ht="34">
      <c r="A225" s="35" t="s">
        <v>120</v>
      </c>
      <c r="B225" s="2" t="s">
        <v>48</v>
      </c>
      <c r="C225" s="10" t="s">
        <v>176</v>
      </c>
      <c r="D225" s="1" t="s">
        <v>214</v>
      </c>
      <c r="E225" s="25">
        <f>2.924-0.212-0.488-1.454</f>
        <v>0.7699999999999998</v>
      </c>
    </row>
    <row r="226" spans="1:5" ht="34">
      <c r="A226" s="35" t="s">
        <v>120</v>
      </c>
      <c r="B226" s="2" t="s">
        <v>48</v>
      </c>
      <c r="C226" s="10" t="s">
        <v>176</v>
      </c>
      <c r="D226" s="1" t="s">
        <v>215</v>
      </c>
      <c r="E226" s="25">
        <f>9.88-3.254</f>
        <v>6.6260000000000012</v>
      </c>
    </row>
    <row r="227" spans="1:5" ht="34">
      <c r="A227" s="35" t="s">
        <v>120</v>
      </c>
      <c r="B227" s="2" t="s">
        <v>48</v>
      </c>
      <c r="C227" s="10" t="s">
        <v>176</v>
      </c>
      <c r="D227" s="1" t="s">
        <v>216</v>
      </c>
      <c r="E227" s="25">
        <f>3.254-0.27-0.836-(0.01)-0.038-(0.008)-0.664-(0.004)-1.134-(0.002)</f>
        <v>0.28800000000000048</v>
      </c>
    </row>
    <row r="228" spans="1:5" ht="34">
      <c r="A228" s="35" t="s">
        <v>120</v>
      </c>
      <c r="B228" s="2" t="s">
        <v>48</v>
      </c>
      <c r="C228" s="10" t="s">
        <v>176</v>
      </c>
      <c r="D228" s="1" t="s">
        <v>217</v>
      </c>
      <c r="E228" s="25">
        <f>3.32-0.62-0.168-(0.042)-1.182-(0.002)-0.144-(0.002)</f>
        <v>1.1599999999999999</v>
      </c>
    </row>
    <row r="229" spans="1:5" ht="34">
      <c r="A229" s="35" t="s">
        <v>120</v>
      </c>
      <c r="B229" s="2" t="s">
        <v>48</v>
      </c>
      <c r="C229" s="10" t="s">
        <v>176</v>
      </c>
      <c r="D229" s="1" t="s">
        <v>218</v>
      </c>
      <c r="E229" s="27">
        <f>3.64-2.438+(0.016)-0.406-0.242-0.096-0.122-(0.014)</f>
        <v>0.33799999999999997</v>
      </c>
    </row>
    <row r="230" spans="1:5" ht="34">
      <c r="A230" s="35" t="s">
        <v>120</v>
      </c>
      <c r="B230" s="2" t="s">
        <v>48</v>
      </c>
      <c r="C230" s="10" t="s">
        <v>176</v>
      </c>
      <c r="D230" s="1" t="s">
        <v>219</v>
      </c>
      <c r="E230" s="27">
        <f>3.73-0.812-0.606-0.304-(0.108)-0.442-(0.004)-0.192-(0.004)-0.492-(0.004)-0.612-(0.002)</f>
        <v>0.14800000000000046</v>
      </c>
    </row>
    <row r="231" spans="1:5" ht="34">
      <c r="A231" s="35" t="s">
        <v>120</v>
      </c>
      <c r="B231" s="2" t="s">
        <v>48</v>
      </c>
      <c r="C231" s="10" t="s">
        <v>176</v>
      </c>
      <c r="D231" s="1" t="s">
        <v>220</v>
      </c>
      <c r="E231" s="25">
        <f>3.56-1.798-(0.088)</f>
        <v>1.6739999999999999</v>
      </c>
    </row>
    <row r="232" spans="1:5" ht="34">
      <c r="A232" s="35" t="s">
        <v>120</v>
      </c>
      <c r="B232" s="2" t="s">
        <v>48</v>
      </c>
      <c r="C232" s="10" t="s">
        <v>176</v>
      </c>
      <c r="D232" s="1" t="s">
        <v>221</v>
      </c>
      <c r="E232" s="27">
        <f>7.18</f>
        <v>7.18</v>
      </c>
    </row>
    <row r="233" spans="1:5" ht="34">
      <c r="A233" s="35" t="s">
        <v>120</v>
      </c>
      <c r="B233" s="2" t="s">
        <v>48</v>
      </c>
      <c r="C233" s="10" t="s">
        <v>176</v>
      </c>
      <c r="D233" s="1" t="s">
        <v>222</v>
      </c>
      <c r="E233" s="27">
        <f>4.484-0.456-0.208-0.194+(0.014)-2.24+(0.004)</f>
        <v>1.403999999999999</v>
      </c>
    </row>
    <row r="234" spans="1:5" ht="34">
      <c r="A234" s="35" t="s">
        <v>120</v>
      </c>
      <c r="B234" s="2" t="s">
        <v>48</v>
      </c>
      <c r="C234" s="10" t="s">
        <v>176</v>
      </c>
      <c r="D234" s="1" t="s">
        <v>223</v>
      </c>
      <c r="E234" s="25">
        <f>4.4-2.31</f>
        <v>2.0900000000000003</v>
      </c>
    </row>
    <row r="235" spans="1:5" ht="34">
      <c r="A235" s="35" t="s">
        <v>120</v>
      </c>
      <c r="B235" s="2" t="s">
        <v>48</v>
      </c>
      <c r="C235" s="10" t="s">
        <v>224</v>
      </c>
      <c r="D235" s="1" t="s">
        <v>223</v>
      </c>
      <c r="E235" s="25">
        <f>9-4.5</f>
        <v>4.5</v>
      </c>
    </row>
    <row r="236" spans="1:5" ht="34">
      <c r="A236" s="35" t="s">
        <v>120</v>
      </c>
      <c r="B236" s="2" t="s">
        <v>48</v>
      </c>
      <c r="C236" s="1" t="s">
        <v>225</v>
      </c>
      <c r="D236" s="1" t="s">
        <v>226</v>
      </c>
      <c r="E236" s="25">
        <f>7.12-3.602</f>
        <v>3.5180000000000002</v>
      </c>
    </row>
    <row r="237" spans="1:5" ht="34">
      <c r="A237" s="35" t="s">
        <v>120</v>
      </c>
      <c r="B237" s="2" t="s">
        <v>48</v>
      </c>
      <c r="C237" s="1" t="s">
        <v>225</v>
      </c>
      <c r="D237" s="1" t="s">
        <v>227</v>
      </c>
      <c r="E237" s="25">
        <f>3.602-2.326</f>
        <v>1.2759999999999998</v>
      </c>
    </row>
    <row r="238" spans="1:5" ht="34">
      <c r="A238" s="35" t="s">
        <v>120</v>
      </c>
      <c r="B238" s="2" t="s">
        <v>48</v>
      </c>
      <c r="C238" s="1" t="s">
        <v>225</v>
      </c>
      <c r="D238" s="1" t="s">
        <v>228</v>
      </c>
      <c r="E238" s="25">
        <f>4.8</f>
        <v>4.8</v>
      </c>
    </row>
    <row r="239" spans="1:5" ht="34">
      <c r="A239" s="35" t="s">
        <v>120</v>
      </c>
      <c r="B239" s="2" t="s">
        <v>48</v>
      </c>
      <c r="C239" s="1" t="s">
        <v>225</v>
      </c>
      <c r="D239" s="1" t="s">
        <v>229</v>
      </c>
      <c r="E239" s="25">
        <f>1.96-0.134-0.21-(0.036)-0.968-0.314-(0.004)</f>
        <v>0.29400000000000009</v>
      </c>
    </row>
    <row r="240" spans="1:5" ht="34">
      <c r="A240" s="35" t="s">
        <v>120</v>
      </c>
      <c r="B240" s="2" t="s">
        <v>48</v>
      </c>
      <c r="C240" s="1" t="s">
        <v>230</v>
      </c>
      <c r="D240" s="1" t="s">
        <v>231</v>
      </c>
      <c r="E240" s="25">
        <f>4.21-2.624-0.446+(0.102)</f>
        <v>1.242</v>
      </c>
    </row>
    <row r="241" spans="1:5" ht="34">
      <c r="A241" s="35" t="s">
        <v>120</v>
      </c>
      <c r="B241" s="2" t="s">
        <v>48</v>
      </c>
      <c r="C241" s="1" t="s">
        <v>230</v>
      </c>
      <c r="D241" s="1" t="s">
        <v>232</v>
      </c>
      <c r="E241" s="25">
        <f>3.14</f>
        <v>3.14</v>
      </c>
    </row>
    <row r="242" spans="1:5" ht="34">
      <c r="A242" s="35" t="s">
        <v>120</v>
      </c>
      <c r="B242" s="2" t="s">
        <v>48</v>
      </c>
      <c r="C242" s="1" t="s">
        <v>230</v>
      </c>
      <c r="D242" s="1" t="s">
        <v>233</v>
      </c>
      <c r="E242" s="25">
        <f>3.07</f>
        <v>3.07</v>
      </c>
    </row>
    <row r="243" spans="1:5" ht="34">
      <c r="A243" s="35" t="s">
        <v>120</v>
      </c>
      <c r="B243" s="2" t="s">
        <v>48</v>
      </c>
      <c r="C243" s="1" t="s">
        <v>230</v>
      </c>
      <c r="D243" s="1" t="s">
        <v>234</v>
      </c>
      <c r="E243" s="25">
        <f>2.93</f>
        <v>2.93</v>
      </c>
    </row>
    <row r="244" spans="1:5" ht="34">
      <c r="A244" s="35" t="s">
        <v>120</v>
      </c>
      <c r="B244" s="2" t="s">
        <v>48</v>
      </c>
      <c r="C244" s="1" t="s">
        <v>230</v>
      </c>
      <c r="D244" s="1" t="s">
        <v>235</v>
      </c>
      <c r="E244" s="25">
        <f>4.78-2.788-(0.018)-0.656-(0.004)-1.032-(0.006)</f>
        <v>0.27600000000000047</v>
      </c>
    </row>
    <row r="245" spans="1:5" ht="34">
      <c r="A245" s="35" t="s">
        <v>120</v>
      </c>
      <c r="B245" s="2" t="s">
        <v>48</v>
      </c>
      <c r="C245" s="1" t="s">
        <v>230</v>
      </c>
      <c r="D245" s="1" t="s">
        <v>236</v>
      </c>
      <c r="E245" s="25">
        <f>4.8-0.474+(0.034)-1.758-(0.01)</f>
        <v>2.5919999999999996</v>
      </c>
    </row>
    <row r="246" spans="1:5" ht="34">
      <c r="A246" s="35" t="s">
        <v>120</v>
      </c>
      <c r="B246" s="2" t="s">
        <v>48</v>
      </c>
      <c r="C246" s="1" t="s">
        <v>230</v>
      </c>
      <c r="D246" s="1" t="s">
        <v>237</v>
      </c>
      <c r="E246" s="27">
        <f>2.87-0.42+(0.032)-2.11</f>
        <v>0.37200000000000033</v>
      </c>
    </row>
    <row r="247" spans="1:5" ht="34">
      <c r="A247" s="35" t="s">
        <v>120</v>
      </c>
      <c r="B247" s="2" t="s">
        <v>48</v>
      </c>
      <c r="C247" s="1" t="s">
        <v>230</v>
      </c>
      <c r="D247" s="1" t="s">
        <v>238</v>
      </c>
      <c r="E247" s="27">
        <f>5.92</f>
        <v>5.92</v>
      </c>
    </row>
    <row r="248" spans="1:5" ht="34">
      <c r="A248" s="35" t="s">
        <v>120</v>
      </c>
      <c r="B248" s="2" t="s">
        <v>48</v>
      </c>
      <c r="C248" s="1" t="s">
        <v>230</v>
      </c>
      <c r="D248" s="1" t="s">
        <v>239</v>
      </c>
      <c r="E248" s="27">
        <f>4.8-1.782-(0.018)-0.498-(0.006)-0.6-(0.004)</f>
        <v>1.8919999999999999</v>
      </c>
    </row>
    <row r="249" spans="1:5" ht="34">
      <c r="A249" s="35" t="s">
        <v>120</v>
      </c>
      <c r="B249" s="2" t="s">
        <v>48</v>
      </c>
      <c r="C249" s="1" t="s">
        <v>230</v>
      </c>
      <c r="D249" s="1" t="s">
        <v>240</v>
      </c>
      <c r="E249" s="27">
        <f>4.8-2.576-(0.036)-0.21-(0.01)</f>
        <v>1.9679999999999997</v>
      </c>
    </row>
    <row r="250" spans="1:5" ht="34">
      <c r="A250" s="35" t="s">
        <v>120</v>
      </c>
      <c r="B250" s="2" t="s">
        <v>48</v>
      </c>
      <c r="C250" s="1" t="s">
        <v>230</v>
      </c>
      <c r="D250" s="1" t="s">
        <v>241</v>
      </c>
      <c r="E250" s="27">
        <f>9.56-4.78-3</f>
        <v>1.7800000000000002</v>
      </c>
    </row>
    <row r="251" spans="1:5" ht="34">
      <c r="A251" s="35" t="s">
        <v>120</v>
      </c>
      <c r="B251" s="2" t="s">
        <v>48</v>
      </c>
      <c r="C251" s="1" t="s">
        <v>230</v>
      </c>
      <c r="D251" s="1" t="s">
        <v>242</v>
      </c>
      <c r="E251" s="27">
        <f>4.78-3.2</f>
        <v>1.58</v>
      </c>
    </row>
    <row r="252" spans="1:5" ht="34">
      <c r="A252" s="35" t="s">
        <v>120</v>
      </c>
      <c r="B252" s="2" t="s">
        <v>48</v>
      </c>
      <c r="C252" s="1" t="s">
        <v>230</v>
      </c>
      <c r="D252" s="1" t="s">
        <v>243</v>
      </c>
      <c r="E252" s="25">
        <f>4.78-0.758+(0.024)</f>
        <v>4.0460000000000003</v>
      </c>
    </row>
    <row r="253" spans="1:5" ht="34">
      <c r="A253" s="35" t="s">
        <v>120</v>
      </c>
      <c r="B253" s="2" t="s">
        <v>48</v>
      </c>
      <c r="C253" s="1" t="s">
        <v>230</v>
      </c>
      <c r="D253" s="1" t="s">
        <v>244</v>
      </c>
      <c r="E253" s="25">
        <f>4.82-3.548-(0.062)-0.72-(0.006)</f>
        <v>0.48400000000000021</v>
      </c>
    </row>
    <row r="254" spans="1:5" ht="34">
      <c r="A254" s="35" t="s">
        <v>120</v>
      </c>
      <c r="B254" s="2" t="s">
        <v>48</v>
      </c>
      <c r="C254" s="1" t="s">
        <v>230</v>
      </c>
      <c r="D254" s="1" t="s">
        <v>245</v>
      </c>
      <c r="E254" s="25">
        <f>4.84-1.246-(0.028)-0.79-(0.008)</f>
        <v>2.7679999999999998</v>
      </c>
    </row>
    <row r="255" spans="1:5" ht="34">
      <c r="A255" s="35" t="s">
        <v>120</v>
      </c>
      <c r="B255" s="2" t="s">
        <v>48</v>
      </c>
      <c r="C255" s="1" t="s">
        <v>230</v>
      </c>
      <c r="D255" s="1" t="s">
        <v>246</v>
      </c>
      <c r="E255" s="25">
        <f>4.81</f>
        <v>4.8099999999999996</v>
      </c>
    </row>
    <row r="256" spans="1:5" ht="34">
      <c r="A256" s="35" t="s">
        <v>120</v>
      </c>
      <c r="B256" s="2" t="s">
        <v>48</v>
      </c>
      <c r="C256" s="1" t="s">
        <v>225</v>
      </c>
      <c r="D256" s="1" t="s">
        <v>247</v>
      </c>
      <c r="E256" s="25">
        <f>4.77-0.152-(0.078)</f>
        <v>4.5399999999999991</v>
      </c>
    </row>
    <row r="257" spans="1:5" ht="34">
      <c r="A257" s="35" t="s">
        <v>120</v>
      </c>
      <c r="B257" s="2" t="s">
        <v>48</v>
      </c>
      <c r="C257" s="1" t="s">
        <v>225</v>
      </c>
      <c r="D257" s="1" t="s">
        <v>248</v>
      </c>
      <c r="E257" s="25">
        <f>4.38-4.056+(0.258)</f>
        <v>0.58199999999999985</v>
      </c>
    </row>
    <row r="258" spans="1:5" ht="34">
      <c r="A258" s="35" t="s">
        <v>120</v>
      </c>
      <c r="B258" s="2" t="s">
        <v>48</v>
      </c>
      <c r="C258" s="1" t="s">
        <v>249</v>
      </c>
      <c r="D258" s="1" t="s">
        <v>250</v>
      </c>
      <c r="E258" s="25">
        <f>4.56-0.988-0.978-(0.014)-1.284-(0.01)-0.358-0.506-(0.014)</f>
        <v>0.40799999999999959</v>
      </c>
    </row>
    <row r="259" spans="1:5" ht="34">
      <c r="A259" s="35" t="s">
        <v>120</v>
      </c>
      <c r="B259" s="2" t="s">
        <v>48</v>
      </c>
      <c r="C259" s="1" t="s">
        <v>251</v>
      </c>
      <c r="D259" s="1" t="s">
        <v>252</v>
      </c>
      <c r="E259" s="25">
        <f>9.56-4.76-2.114-(0.014)</f>
        <v>2.672000000000001</v>
      </c>
    </row>
    <row r="260" spans="1:5" ht="34">
      <c r="A260" s="35" t="s">
        <v>120</v>
      </c>
      <c r="B260" s="2" t="s">
        <v>48</v>
      </c>
      <c r="C260" s="1" t="s">
        <v>251</v>
      </c>
      <c r="D260" s="1" t="s">
        <v>253</v>
      </c>
      <c r="E260" s="25">
        <f>5</f>
        <v>5</v>
      </c>
    </row>
    <row r="261" spans="1:5" ht="34">
      <c r="A261" s="35" t="s">
        <v>120</v>
      </c>
      <c r="B261" s="14" t="s">
        <v>254</v>
      </c>
      <c r="C261" s="10" t="s">
        <v>255</v>
      </c>
      <c r="D261" s="14" t="s">
        <v>82</v>
      </c>
      <c r="E261" s="22">
        <f>0.91</f>
        <v>0.91</v>
      </c>
    </row>
    <row r="262" spans="1:5" ht="34">
      <c r="A262" s="35" t="s">
        <v>120</v>
      </c>
      <c r="B262" s="14" t="s">
        <v>256</v>
      </c>
      <c r="C262" s="10" t="s">
        <v>255</v>
      </c>
      <c r="D262" s="14" t="s">
        <v>110</v>
      </c>
      <c r="E262" s="22">
        <f>3.979</f>
        <v>3.9790000000000001</v>
      </c>
    </row>
    <row r="263" spans="1:5" ht="34">
      <c r="A263" s="35" t="s">
        <v>120</v>
      </c>
      <c r="B263" s="14" t="s">
        <v>257</v>
      </c>
      <c r="C263" s="10" t="s">
        <v>255</v>
      </c>
      <c r="D263" s="14" t="s">
        <v>258</v>
      </c>
      <c r="E263" s="22">
        <f>0.875-0.432-0.216-0.013</f>
        <v>0.214</v>
      </c>
    </row>
    <row r="264" spans="1:5" ht="34">
      <c r="A264" s="35" t="s">
        <v>120</v>
      </c>
      <c r="B264" s="14" t="s">
        <v>256</v>
      </c>
      <c r="C264" s="10" t="s">
        <v>259</v>
      </c>
      <c r="D264" s="14" t="s">
        <v>154</v>
      </c>
      <c r="E264" s="22">
        <f>3.555-0.71-0.722-0.702</f>
        <v>1.4210000000000003</v>
      </c>
    </row>
    <row r="265" spans="1:5" ht="34">
      <c r="A265" s="35" t="s">
        <v>120</v>
      </c>
      <c r="B265" s="14" t="s">
        <v>256</v>
      </c>
      <c r="C265" s="10" t="s">
        <v>259</v>
      </c>
      <c r="D265" s="14" t="s">
        <v>260</v>
      </c>
      <c r="E265" s="22">
        <f>0.71-0.57</f>
        <v>0.14000000000000001</v>
      </c>
    </row>
    <row r="266" spans="1:5" ht="34">
      <c r="A266" s="35" t="s">
        <v>120</v>
      </c>
      <c r="B266" s="14" t="s">
        <v>256</v>
      </c>
      <c r="C266" s="10" t="s">
        <v>259</v>
      </c>
      <c r="D266" s="14" t="s">
        <v>261</v>
      </c>
      <c r="E266" s="22">
        <f>0.702-0.234</f>
        <v>0.46799999999999997</v>
      </c>
    </row>
    <row r="267" spans="1:5" ht="34">
      <c r="A267" s="35" t="s">
        <v>120</v>
      </c>
      <c r="B267" s="14" t="s">
        <v>256</v>
      </c>
      <c r="C267" s="10" t="s">
        <v>259</v>
      </c>
      <c r="D267" s="14" t="s">
        <v>262</v>
      </c>
      <c r="E267" s="22">
        <f>0.722-0.366</f>
        <v>0.35599999999999998</v>
      </c>
    </row>
    <row r="268" spans="1:5" ht="34">
      <c r="A268" s="35" t="s">
        <v>120</v>
      </c>
      <c r="B268" s="14" t="s">
        <v>256</v>
      </c>
      <c r="C268" s="10" t="s">
        <v>255</v>
      </c>
      <c r="D268" s="14" t="s">
        <v>263</v>
      </c>
      <c r="E268" s="22">
        <f>0.614-0.298-0.058-0.176-0.004</f>
        <v>7.8000000000000014E-2</v>
      </c>
    </row>
    <row r="269" spans="1:5" ht="34">
      <c r="A269" s="35" t="s">
        <v>120</v>
      </c>
      <c r="B269" s="14" t="s">
        <v>264</v>
      </c>
      <c r="C269" s="10" t="s">
        <v>259</v>
      </c>
      <c r="D269" s="14" t="s">
        <v>265</v>
      </c>
      <c r="E269" s="22">
        <f>4.52-2.97-0.044-1.036-(0.004)-0.154-(0.002)</f>
        <v>0.30999999999999928</v>
      </c>
    </row>
    <row r="270" spans="1:5" ht="34">
      <c r="A270" s="35" t="s">
        <v>120</v>
      </c>
      <c r="B270" s="14" t="s">
        <v>266</v>
      </c>
      <c r="C270" s="10" t="s">
        <v>259</v>
      </c>
      <c r="D270" s="14" t="s">
        <v>267</v>
      </c>
      <c r="E270" s="22">
        <f>1.014</f>
        <v>1.014</v>
      </c>
    </row>
    <row r="271" spans="1:5" ht="34">
      <c r="A271" s="35" t="s">
        <v>120</v>
      </c>
      <c r="B271" s="10" t="s">
        <v>78</v>
      </c>
      <c r="C271" s="10" t="s">
        <v>268</v>
      </c>
      <c r="D271" s="1" t="s">
        <v>269</v>
      </c>
      <c r="E271" s="25">
        <f>3.29-0.5</f>
        <v>2.79</v>
      </c>
    </row>
    <row r="272" spans="1:5" ht="34">
      <c r="A272" s="35" t="s">
        <v>120</v>
      </c>
      <c r="B272" s="10" t="s">
        <v>78</v>
      </c>
      <c r="C272" s="10" t="s">
        <v>128</v>
      </c>
      <c r="D272" s="1" t="s">
        <v>270</v>
      </c>
      <c r="E272" s="25">
        <f>0.272-0.046-0.032-0.046</f>
        <v>0.14800000000000002</v>
      </c>
    </row>
    <row r="273" spans="1:5" ht="34">
      <c r="A273" s="35" t="s">
        <v>120</v>
      </c>
      <c r="B273" s="10" t="s">
        <v>78</v>
      </c>
      <c r="C273" s="10" t="s">
        <v>271</v>
      </c>
      <c r="D273" s="1" t="s">
        <v>272</v>
      </c>
      <c r="E273" s="25">
        <f>3.135-0.55</f>
        <v>2.585</v>
      </c>
    </row>
    <row r="274" spans="1:5" ht="34">
      <c r="A274" s="35" t="s">
        <v>120</v>
      </c>
      <c r="B274" s="10" t="s">
        <v>78</v>
      </c>
      <c r="C274" s="10" t="s">
        <v>271</v>
      </c>
      <c r="D274" s="1" t="s">
        <v>273</v>
      </c>
      <c r="E274" s="25">
        <f>3.115-0.5</f>
        <v>2.6150000000000002</v>
      </c>
    </row>
    <row r="275" spans="1:5" ht="34">
      <c r="A275" s="35" t="s">
        <v>120</v>
      </c>
      <c r="B275" s="10" t="s">
        <v>78</v>
      </c>
      <c r="C275" s="10" t="s">
        <v>128</v>
      </c>
      <c r="D275" s="10" t="s">
        <v>274</v>
      </c>
      <c r="E275" s="25">
        <f>0.85-0.14-(0.008)-0.294-(0.002)</f>
        <v>0.40599999999999997</v>
      </c>
    </row>
    <row r="276" spans="1:5" ht="34">
      <c r="A276" s="35" t="s">
        <v>120</v>
      </c>
      <c r="B276" s="10" t="s">
        <v>78</v>
      </c>
      <c r="C276" s="10" t="s">
        <v>128</v>
      </c>
      <c r="D276" s="1" t="s">
        <v>275</v>
      </c>
      <c r="E276" s="25">
        <f>0.824-0.484</f>
        <v>0.33999999999999997</v>
      </c>
    </row>
    <row r="277" spans="1:5" ht="34">
      <c r="A277" s="35" t="s">
        <v>120</v>
      </c>
      <c r="B277" s="10" t="s">
        <v>78</v>
      </c>
      <c r="C277" s="10" t="s">
        <v>128</v>
      </c>
      <c r="D277" s="1" t="s">
        <v>276</v>
      </c>
      <c r="E277" s="25">
        <f>5.112-0.841-1.704</f>
        <v>2.5670000000000002</v>
      </c>
    </row>
    <row r="278" spans="1:5" ht="34">
      <c r="A278" s="35" t="s">
        <v>120</v>
      </c>
      <c r="B278" s="10" t="s">
        <v>78</v>
      </c>
      <c r="C278" s="10" t="s">
        <v>128</v>
      </c>
      <c r="D278" s="1" t="s">
        <v>277</v>
      </c>
      <c r="E278" s="25">
        <f>2.982-1.98-0.082-(0.018)</f>
        <v>0.90200000000000025</v>
      </c>
    </row>
    <row r="279" spans="1:5" ht="34">
      <c r="A279" s="35" t="s">
        <v>120</v>
      </c>
      <c r="B279" s="10" t="s">
        <v>78</v>
      </c>
      <c r="C279" s="10" t="s">
        <v>128</v>
      </c>
      <c r="D279" s="1" t="s">
        <v>157</v>
      </c>
      <c r="E279" s="25">
        <f>1.988</f>
        <v>1.988</v>
      </c>
    </row>
    <row r="280" spans="1:5" ht="34">
      <c r="A280" s="35" t="s">
        <v>120</v>
      </c>
      <c r="B280" s="10" t="s">
        <v>78</v>
      </c>
      <c r="C280" s="10" t="s">
        <v>138</v>
      </c>
      <c r="D280" s="1" t="s">
        <v>277</v>
      </c>
      <c r="E280" s="25">
        <f>0.912</f>
        <v>0.91200000000000003</v>
      </c>
    </row>
    <row r="281" spans="1:5" ht="34">
      <c r="A281" s="35" t="s">
        <v>120</v>
      </c>
      <c r="B281" s="10" t="s">
        <v>78</v>
      </c>
      <c r="C281" s="10" t="s">
        <v>138</v>
      </c>
      <c r="D281" s="1" t="s">
        <v>278</v>
      </c>
      <c r="E281" s="25">
        <f>2.122</f>
        <v>2.1219999999999999</v>
      </c>
    </row>
    <row r="282" spans="1:5" ht="34">
      <c r="A282" s="35" t="s">
        <v>120</v>
      </c>
      <c r="B282" s="10" t="s">
        <v>78</v>
      </c>
      <c r="C282" s="10" t="s">
        <v>128</v>
      </c>
      <c r="D282" s="1" t="s">
        <v>279</v>
      </c>
      <c r="E282" s="25">
        <f>3.411-2.18-0.108-(0.145)-0.328-0.513</f>
        <v>0.13699999999999968</v>
      </c>
    </row>
    <row r="283" spans="1:5" ht="34">
      <c r="A283" s="35" t="s">
        <v>120</v>
      </c>
      <c r="B283" s="10" t="s">
        <v>78</v>
      </c>
      <c r="C283" s="10" t="s">
        <v>128</v>
      </c>
      <c r="D283" s="1" t="s">
        <v>280</v>
      </c>
      <c r="E283" s="25">
        <f>1.14-0.566</f>
        <v>0.57399999999999995</v>
      </c>
    </row>
    <row r="284" spans="1:5" ht="34">
      <c r="A284" s="35" t="s">
        <v>120</v>
      </c>
      <c r="B284" s="10" t="s">
        <v>78</v>
      </c>
      <c r="C284" s="10" t="s">
        <v>128</v>
      </c>
      <c r="D284" s="1" t="s">
        <v>192</v>
      </c>
      <c r="E284" s="25">
        <f>10.28-1.262-1.252</f>
        <v>7.7659999999999991</v>
      </c>
    </row>
    <row r="285" spans="1:5" ht="34">
      <c r="A285" s="35" t="s">
        <v>120</v>
      </c>
      <c r="B285" s="10" t="s">
        <v>78</v>
      </c>
      <c r="C285" s="10" t="s">
        <v>128</v>
      </c>
      <c r="D285" s="1" t="s">
        <v>281</v>
      </c>
      <c r="E285" s="25">
        <f>1.262-0.508-0.23</f>
        <v>0.52400000000000002</v>
      </c>
    </row>
    <row r="286" spans="1:5" ht="34">
      <c r="A286" s="35" t="s">
        <v>120</v>
      </c>
      <c r="B286" s="10" t="s">
        <v>78</v>
      </c>
      <c r="C286" s="10" t="s">
        <v>128</v>
      </c>
      <c r="D286" s="1" t="s">
        <v>282</v>
      </c>
      <c r="E286" s="25">
        <f>1.252-1.01</f>
        <v>0.24199999999999999</v>
      </c>
    </row>
    <row r="287" spans="1:5" ht="34">
      <c r="A287" s="35" t="s">
        <v>120</v>
      </c>
      <c r="B287" s="10" t="s">
        <v>78</v>
      </c>
      <c r="C287" s="10" t="s">
        <v>128</v>
      </c>
      <c r="D287" s="1" t="s">
        <v>283</v>
      </c>
      <c r="E287" s="25">
        <f>1.428-0.497-(0.031)-0.352-(0.002)-0.464</f>
        <v>8.1999999999999906E-2</v>
      </c>
    </row>
    <row r="288" spans="1:5" ht="34">
      <c r="A288" s="35" t="s">
        <v>120</v>
      </c>
      <c r="B288" s="10" t="s">
        <v>78</v>
      </c>
      <c r="C288" s="10" t="s">
        <v>128</v>
      </c>
      <c r="D288" s="1" t="s">
        <v>284</v>
      </c>
      <c r="E288" s="25">
        <f>1.404-0.72</f>
        <v>0.68399999999999994</v>
      </c>
    </row>
    <row r="289" spans="1:5" ht="34">
      <c r="A289" s="35" t="s">
        <v>120</v>
      </c>
      <c r="B289" s="10" t="s">
        <v>78</v>
      </c>
      <c r="C289" s="10" t="s">
        <v>138</v>
      </c>
      <c r="D289" s="1" t="s">
        <v>142</v>
      </c>
      <c r="E289" s="25">
        <f>2.856-1.385</f>
        <v>1.4709999999999999</v>
      </c>
    </row>
    <row r="290" spans="1:5" ht="34">
      <c r="A290" s="35" t="s">
        <v>120</v>
      </c>
      <c r="B290" s="10" t="s">
        <v>78</v>
      </c>
      <c r="C290" s="10" t="s">
        <v>138</v>
      </c>
      <c r="D290" s="1" t="s">
        <v>142</v>
      </c>
      <c r="E290" s="25">
        <f>2.856</f>
        <v>2.8559999999999999</v>
      </c>
    </row>
    <row r="291" spans="1:5" ht="34">
      <c r="A291" s="35" t="s">
        <v>120</v>
      </c>
      <c r="B291" s="10" t="s">
        <v>78</v>
      </c>
      <c r="C291" s="10" t="s">
        <v>138</v>
      </c>
      <c r="D291" s="10" t="s">
        <v>285</v>
      </c>
      <c r="E291" s="25">
        <f>1.57-0.262+(0.008)</f>
        <v>1.3160000000000001</v>
      </c>
    </row>
    <row r="292" spans="1:5" ht="34">
      <c r="A292" s="35" t="s">
        <v>120</v>
      </c>
      <c r="B292" s="10" t="s">
        <v>78</v>
      </c>
      <c r="C292" s="10" t="s">
        <v>128</v>
      </c>
      <c r="D292" s="10" t="s">
        <v>286</v>
      </c>
      <c r="E292" s="25">
        <f>3.57-1.754-0.176-(0.06)-0.882-0.294-0.05</f>
        <v>0.35399999999999987</v>
      </c>
    </row>
    <row r="293" spans="1:5" ht="34">
      <c r="A293" s="35" t="s">
        <v>120</v>
      </c>
      <c r="B293" s="10" t="s">
        <v>78</v>
      </c>
      <c r="C293" s="10" t="s">
        <v>128</v>
      </c>
      <c r="D293" s="10" t="s">
        <v>287</v>
      </c>
      <c r="E293" s="25">
        <f>0.294-0.148</f>
        <v>0.14599999999999999</v>
      </c>
    </row>
    <row r="294" spans="1:5" ht="34">
      <c r="A294" s="35" t="s">
        <v>120</v>
      </c>
      <c r="B294" s="10" t="s">
        <v>78</v>
      </c>
      <c r="C294" s="10" t="s">
        <v>128</v>
      </c>
      <c r="D294" s="10" t="s">
        <v>145</v>
      </c>
      <c r="E294" s="25">
        <f>10.71</f>
        <v>10.71</v>
      </c>
    </row>
    <row r="295" spans="1:5" ht="34">
      <c r="A295" s="35" t="s">
        <v>120</v>
      </c>
      <c r="B295" s="10" t="s">
        <v>78</v>
      </c>
      <c r="C295" s="10" t="s">
        <v>288</v>
      </c>
      <c r="D295" s="10" t="s">
        <v>145</v>
      </c>
      <c r="E295" s="25">
        <f>3.57-1.8</f>
        <v>1.7699999999999998</v>
      </c>
    </row>
    <row r="296" spans="1:5" ht="34">
      <c r="A296" s="35" t="s">
        <v>120</v>
      </c>
      <c r="B296" s="10" t="s">
        <v>78</v>
      </c>
      <c r="C296" s="10" t="s">
        <v>128</v>
      </c>
      <c r="D296" s="1" t="s">
        <v>289</v>
      </c>
      <c r="E296" s="25">
        <f>12.852-6.31-4.2-0.524-(0.246)-0.522-0.702-(0.01)-0.058-0.116-(0.002)</f>
        <v>0.16200000000000053</v>
      </c>
    </row>
    <row r="297" spans="1:5" ht="34">
      <c r="A297" s="35" t="s">
        <v>120</v>
      </c>
      <c r="B297" s="10" t="s">
        <v>78</v>
      </c>
      <c r="C297" s="10" t="s">
        <v>128</v>
      </c>
      <c r="D297" s="1" t="s">
        <v>290</v>
      </c>
      <c r="E297" s="25">
        <f>0.116</f>
        <v>0.11600000000000001</v>
      </c>
    </row>
    <row r="298" spans="1:5" ht="34">
      <c r="A298" s="35" t="s">
        <v>120</v>
      </c>
      <c r="B298" s="10" t="s">
        <v>78</v>
      </c>
      <c r="C298" s="10" t="s">
        <v>128</v>
      </c>
      <c r="D298" s="1" t="s">
        <v>291</v>
      </c>
      <c r="E298" s="25">
        <f>4.568</f>
        <v>4.5679999999999996</v>
      </c>
    </row>
    <row r="299" spans="1:5" ht="34">
      <c r="A299" s="35" t="s">
        <v>120</v>
      </c>
      <c r="B299" s="10" t="s">
        <v>78</v>
      </c>
      <c r="C299" s="10" t="s">
        <v>128</v>
      </c>
      <c r="D299" s="10" t="s">
        <v>292</v>
      </c>
      <c r="E299" s="25">
        <f>2.512-0.254-0.084-(0.002)</f>
        <v>2.1720000000000002</v>
      </c>
    </row>
    <row r="300" spans="1:5" ht="34">
      <c r="A300" s="35" t="s">
        <v>120</v>
      </c>
      <c r="B300" s="10" t="s">
        <v>78</v>
      </c>
      <c r="C300" s="10" t="s">
        <v>128</v>
      </c>
      <c r="D300" s="10" t="s">
        <v>210</v>
      </c>
      <c r="E300" s="25">
        <f>2.57</f>
        <v>2.57</v>
      </c>
    </row>
    <row r="301" spans="1:5" ht="34">
      <c r="A301" s="35" t="s">
        <v>120</v>
      </c>
      <c r="B301" s="1" t="s">
        <v>78</v>
      </c>
      <c r="C301" s="2" t="s">
        <v>293</v>
      </c>
      <c r="D301" s="15" t="s">
        <v>294</v>
      </c>
      <c r="E301" s="30">
        <f>8.565-2.84-2.826-1.41-0.708-(0.081)</f>
        <v>0.69999999999999973</v>
      </c>
    </row>
    <row r="302" spans="1:5" ht="34">
      <c r="A302" s="35" t="s">
        <v>120</v>
      </c>
      <c r="B302" s="1" t="s">
        <v>78</v>
      </c>
      <c r="C302" s="2" t="s">
        <v>293</v>
      </c>
      <c r="D302" s="15" t="s">
        <v>295</v>
      </c>
      <c r="E302" s="30">
        <f>2.826-0.94-1.412-(0.01)-0.16</f>
        <v>0.30400000000000016</v>
      </c>
    </row>
    <row r="303" spans="1:5" ht="34">
      <c r="A303" s="35" t="s">
        <v>120</v>
      </c>
      <c r="B303" s="1" t="s">
        <v>78</v>
      </c>
      <c r="C303" s="2" t="s">
        <v>293</v>
      </c>
      <c r="D303" s="15" t="s">
        <v>296</v>
      </c>
      <c r="E303" s="30">
        <f>2.928-0.946</f>
        <v>1.982</v>
      </c>
    </row>
    <row r="304" spans="1:5" ht="34">
      <c r="A304" s="35" t="s">
        <v>120</v>
      </c>
      <c r="B304" s="1" t="s">
        <v>78</v>
      </c>
      <c r="C304" s="2" t="s">
        <v>293</v>
      </c>
      <c r="D304" s="15" t="s">
        <v>297</v>
      </c>
      <c r="E304" s="30">
        <f>2.928-1.982-0.474-(0.014)</f>
        <v>0.45799999999999996</v>
      </c>
    </row>
    <row r="305" spans="1:5" ht="34">
      <c r="A305" s="35" t="s">
        <v>120</v>
      </c>
      <c r="B305" s="1" t="s">
        <v>78</v>
      </c>
      <c r="C305" s="2" t="s">
        <v>298</v>
      </c>
      <c r="D305" s="15" t="s">
        <v>213</v>
      </c>
      <c r="E305" s="30">
        <f>5.71</f>
        <v>5.71</v>
      </c>
    </row>
    <row r="306" spans="1:5" ht="34">
      <c r="A306" s="35" t="s">
        <v>120</v>
      </c>
      <c r="B306" s="10" t="s">
        <v>78</v>
      </c>
      <c r="C306" s="10" t="s">
        <v>293</v>
      </c>
      <c r="D306" s="15" t="s">
        <v>299</v>
      </c>
      <c r="E306" s="30">
        <f>1.564-1.058-0.038</f>
        <v>0.46800000000000003</v>
      </c>
    </row>
    <row r="307" spans="1:5" ht="34">
      <c r="A307" s="35" t="s">
        <v>120</v>
      </c>
      <c r="B307" s="10" t="s">
        <v>78</v>
      </c>
      <c r="C307" s="10" t="s">
        <v>128</v>
      </c>
      <c r="D307" s="10" t="s">
        <v>300</v>
      </c>
      <c r="E307" s="25">
        <f>3.212-1.826-0.796-0.29-(0.032)</f>
        <v>0.26800000000000013</v>
      </c>
    </row>
    <row r="308" spans="1:5" ht="34">
      <c r="A308" s="35" t="s">
        <v>120</v>
      </c>
      <c r="B308" s="10" t="s">
        <v>78</v>
      </c>
      <c r="C308" s="10" t="s">
        <v>128</v>
      </c>
      <c r="D308" s="10" t="s">
        <v>301</v>
      </c>
      <c r="E308" s="25">
        <f>3.212-0.294-(0.03)</f>
        <v>2.8880000000000003</v>
      </c>
    </row>
    <row r="309" spans="1:5" ht="34">
      <c r="A309" s="35" t="s">
        <v>120</v>
      </c>
      <c r="B309" s="10" t="s">
        <v>78</v>
      </c>
      <c r="C309" s="10" t="s">
        <v>128</v>
      </c>
      <c r="D309" s="1" t="s">
        <v>302</v>
      </c>
      <c r="E309" s="25">
        <f>3.506-0.536-0.398-0.59-(0.004)-1.176-(0.006)-0.084-0.094</f>
        <v>0.61799999999999988</v>
      </c>
    </row>
    <row r="310" spans="1:5" ht="34">
      <c r="A310" s="35" t="s">
        <v>120</v>
      </c>
      <c r="B310" s="10" t="s">
        <v>78</v>
      </c>
      <c r="C310" s="10" t="s">
        <v>128</v>
      </c>
      <c r="D310" s="1" t="s">
        <v>303</v>
      </c>
      <c r="E310" s="25">
        <f>0.094</f>
        <v>9.4E-2</v>
      </c>
    </row>
    <row r="311" spans="1:5" ht="34">
      <c r="A311" s="35" t="s">
        <v>120</v>
      </c>
      <c r="B311" s="10" t="s">
        <v>78</v>
      </c>
      <c r="C311" s="10" t="s">
        <v>128</v>
      </c>
      <c r="D311" s="1" t="s">
        <v>304</v>
      </c>
      <c r="E311" s="25">
        <f>3.569-2.002-(0.037)-1.18-(0.004)-0.192+(0.008)</f>
        <v>0.16200000000000031</v>
      </c>
    </row>
    <row r="312" spans="1:5" ht="34">
      <c r="A312" s="35" t="s">
        <v>120</v>
      </c>
      <c r="B312" s="10" t="s">
        <v>78</v>
      </c>
      <c r="C312" s="10" t="s">
        <v>128</v>
      </c>
      <c r="D312" s="1" t="s">
        <v>305</v>
      </c>
      <c r="E312" s="25">
        <f>3.53-1.76-0.856-(0.036)</f>
        <v>0.87799999999999978</v>
      </c>
    </row>
    <row r="313" spans="1:5" ht="34">
      <c r="A313" s="35" t="s">
        <v>120</v>
      </c>
      <c r="B313" s="10" t="s">
        <v>78</v>
      </c>
      <c r="C313" s="10" t="s">
        <v>128</v>
      </c>
      <c r="D313" s="1" t="s">
        <v>221</v>
      </c>
      <c r="E313" s="25">
        <f>10.707-3.6</f>
        <v>7.1070000000000011</v>
      </c>
    </row>
    <row r="314" spans="1:5" ht="34">
      <c r="A314" s="35" t="s">
        <v>120</v>
      </c>
      <c r="B314" s="10" t="s">
        <v>78</v>
      </c>
      <c r="C314" s="10" t="s">
        <v>128</v>
      </c>
      <c r="D314" s="1" t="s">
        <v>306</v>
      </c>
      <c r="E314" s="25">
        <f>3.51</f>
        <v>3.51</v>
      </c>
    </row>
    <row r="315" spans="1:5" ht="34">
      <c r="A315" s="35" t="s">
        <v>120</v>
      </c>
      <c r="B315" s="10" t="s">
        <v>78</v>
      </c>
      <c r="C315" s="10" t="s">
        <v>128</v>
      </c>
      <c r="D315" s="1" t="s">
        <v>307</v>
      </c>
      <c r="E315" s="25">
        <f>4.05-1.992-0.042-0.416-(0.004)-0.39-(0.006)-0.088-(0.01)-0.036-0.152-0.068-(0.01)-0.072-(0.018)</f>
        <v>0.74599999999999989</v>
      </c>
    </row>
    <row r="316" spans="1:5" ht="34">
      <c r="A316" s="35" t="s">
        <v>120</v>
      </c>
      <c r="B316" s="10" t="s">
        <v>78</v>
      </c>
      <c r="C316" s="10" t="s">
        <v>128</v>
      </c>
      <c r="D316" s="1" t="s">
        <v>308</v>
      </c>
      <c r="E316" s="25">
        <f>4.15-2.766+(0.03)</f>
        <v>1.4140000000000004</v>
      </c>
    </row>
    <row r="317" spans="1:5" ht="34">
      <c r="A317" s="35" t="s">
        <v>120</v>
      </c>
      <c r="B317" s="1" t="s">
        <v>78</v>
      </c>
      <c r="C317" s="2" t="s">
        <v>293</v>
      </c>
      <c r="D317" s="15" t="s">
        <v>309</v>
      </c>
      <c r="E317" s="31">
        <f>0.072</f>
        <v>7.1999999999999995E-2</v>
      </c>
    </row>
    <row r="318" spans="1:5" ht="34">
      <c r="A318" s="35" t="s">
        <v>120</v>
      </c>
      <c r="B318" s="1" t="s">
        <v>78</v>
      </c>
      <c r="C318" s="2" t="s">
        <v>293</v>
      </c>
      <c r="D318" s="15" t="s">
        <v>310</v>
      </c>
      <c r="E318" s="31">
        <f>0.04</f>
        <v>0.04</v>
      </c>
    </row>
    <row r="319" spans="1:5" ht="34">
      <c r="A319" s="35" t="s">
        <v>120</v>
      </c>
      <c r="B319" s="1" t="s">
        <v>78</v>
      </c>
      <c r="C319" s="2" t="s">
        <v>293</v>
      </c>
      <c r="D319" s="15" t="s">
        <v>311</v>
      </c>
      <c r="E319" s="30">
        <f>4.42-0.904-0.244+(0.006)-0.35-0.694-0.518-0.536-0.908-(0.022)-0.056-(0.002)</f>
        <v>0.19199999999999992</v>
      </c>
    </row>
    <row r="320" spans="1:5" ht="34">
      <c r="A320" s="35" t="s">
        <v>120</v>
      </c>
      <c r="B320" s="1" t="s">
        <v>78</v>
      </c>
      <c r="C320" s="2" t="s">
        <v>293</v>
      </c>
      <c r="D320" s="15" t="s">
        <v>312</v>
      </c>
      <c r="E320" s="30">
        <f>4.522-1.878-1.126-(0.006)-0.978-(0.004)-0.172-0.074-0.05-(0.002)</f>
        <v>0.23200000000000026</v>
      </c>
    </row>
    <row r="321" spans="1:5" ht="34">
      <c r="A321" s="35" t="s">
        <v>120</v>
      </c>
      <c r="B321" s="1" t="s">
        <v>78</v>
      </c>
      <c r="C321" s="2" t="s">
        <v>293</v>
      </c>
      <c r="D321" s="15" t="s">
        <v>313</v>
      </c>
      <c r="E321" s="30">
        <f>4.56-0.598-0.618-0.446-0.382-0.12-0.12-0.038-0.04-0.042-(0.096)</f>
        <v>2.0599999999999996</v>
      </c>
    </row>
    <row r="322" spans="1:5" ht="34">
      <c r="A322" s="35" t="s">
        <v>120</v>
      </c>
      <c r="B322" s="1" t="s">
        <v>78</v>
      </c>
      <c r="C322" s="2" t="s">
        <v>293</v>
      </c>
      <c r="D322" s="15" t="s">
        <v>314</v>
      </c>
      <c r="E322" s="30">
        <f>0.12</f>
        <v>0.12</v>
      </c>
    </row>
    <row r="323" spans="1:5" ht="34">
      <c r="A323" s="35" t="s">
        <v>120</v>
      </c>
      <c r="B323" s="1" t="s">
        <v>78</v>
      </c>
      <c r="C323" s="2" t="s">
        <v>293</v>
      </c>
      <c r="D323" s="15" t="s">
        <v>315</v>
      </c>
      <c r="E323" s="30">
        <f>0.12</f>
        <v>0.12</v>
      </c>
    </row>
    <row r="324" spans="1:5" ht="34">
      <c r="A324" s="35" t="s">
        <v>120</v>
      </c>
      <c r="B324" s="1" t="s">
        <v>78</v>
      </c>
      <c r="C324" s="2" t="s">
        <v>293</v>
      </c>
      <c r="D324" s="15" t="s">
        <v>316</v>
      </c>
      <c r="E324" s="30">
        <f>0.038</f>
        <v>3.7999999999999999E-2</v>
      </c>
    </row>
    <row r="325" spans="1:5" ht="34">
      <c r="A325" s="35" t="s">
        <v>120</v>
      </c>
      <c r="B325" s="1" t="s">
        <v>78</v>
      </c>
      <c r="C325" s="2" t="s">
        <v>293</v>
      </c>
      <c r="D325" s="15" t="s">
        <v>317</v>
      </c>
      <c r="E325" s="30">
        <f>0.04</f>
        <v>0.04</v>
      </c>
    </row>
    <row r="326" spans="1:5" ht="34">
      <c r="A326" s="35" t="s">
        <v>120</v>
      </c>
      <c r="B326" s="1" t="s">
        <v>78</v>
      </c>
      <c r="C326" s="2" t="s">
        <v>298</v>
      </c>
      <c r="D326" s="15" t="s">
        <v>223</v>
      </c>
      <c r="E326" s="30">
        <f>9.1</f>
        <v>9.1</v>
      </c>
    </row>
    <row r="327" spans="1:5" ht="34">
      <c r="A327" s="35" t="s">
        <v>120</v>
      </c>
      <c r="B327" s="1" t="s">
        <v>78</v>
      </c>
      <c r="C327" s="2" t="s">
        <v>293</v>
      </c>
      <c r="D327" s="15" t="s">
        <v>318</v>
      </c>
      <c r="E327" s="30">
        <f>2.93-0.626-0.104-0.156-0.062-0.076-(0.056)</f>
        <v>1.8499999999999999</v>
      </c>
    </row>
    <row r="328" spans="1:5" ht="34">
      <c r="A328" s="35" t="s">
        <v>120</v>
      </c>
      <c r="B328" s="1" t="s">
        <v>78</v>
      </c>
      <c r="C328" s="2" t="s">
        <v>293</v>
      </c>
      <c r="D328" s="15" t="s">
        <v>319</v>
      </c>
      <c r="E328" s="30">
        <f>0.076</f>
        <v>7.5999999999999998E-2</v>
      </c>
    </row>
    <row r="329" spans="1:5" ht="34">
      <c r="A329" s="35" t="s">
        <v>120</v>
      </c>
      <c r="B329" s="1" t="s">
        <v>78</v>
      </c>
      <c r="C329" s="2" t="s">
        <v>293</v>
      </c>
      <c r="D329" s="15" t="s">
        <v>320</v>
      </c>
      <c r="E329" s="30">
        <f>0.062</f>
        <v>6.2E-2</v>
      </c>
    </row>
    <row r="330" spans="1:5" ht="34">
      <c r="A330" s="35" t="s">
        <v>120</v>
      </c>
      <c r="B330" s="1" t="s">
        <v>78</v>
      </c>
      <c r="C330" s="2" t="s">
        <v>293</v>
      </c>
      <c r="D330" s="15" t="s">
        <v>321</v>
      </c>
      <c r="E330" s="30">
        <f>2.02</f>
        <v>2.02</v>
      </c>
    </row>
    <row r="331" spans="1:5" ht="34">
      <c r="A331" s="35" t="s">
        <v>120</v>
      </c>
      <c r="B331" s="1" t="s">
        <v>78</v>
      </c>
      <c r="C331" s="2" t="s">
        <v>293</v>
      </c>
      <c r="D331" s="15" t="s">
        <v>322</v>
      </c>
      <c r="E331" s="30">
        <f>2.71</f>
        <v>2.71</v>
      </c>
    </row>
    <row r="332" spans="1:5" ht="34">
      <c r="A332" s="35" t="s">
        <v>120</v>
      </c>
      <c r="B332" s="1" t="s">
        <v>78</v>
      </c>
      <c r="C332" s="2" t="s">
        <v>293</v>
      </c>
      <c r="D332" s="15" t="s">
        <v>323</v>
      </c>
      <c r="E332" s="30">
        <f>10.098-5.11-2.538-1.706+(0.122)</f>
        <v>0.86600000000000066</v>
      </c>
    </row>
    <row r="333" spans="1:5" ht="34">
      <c r="A333" s="35" t="s">
        <v>120</v>
      </c>
      <c r="B333" s="1" t="s">
        <v>78</v>
      </c>
      <c r="C333" s="2" t="s">
        <v>293</v>
      </c>
      <c r="D333" s="15" t="s">
        <v>324</v>
      </c>
      <c r="E333" s="30">
        <f>5.11-1.268-2.528-(0.014)-1.098-(0.004)</f>
        <v>0.1980000000000004</v>
      </c>
    </row>
    <row r="334" spans="1:5" ht="34">
      <c r="A334" s="35" t="s">
        <v>120</v>
      </c>
      <c r="B334" s="1" t="s">
        <v>78</v>
      </c>
      <c r="C334" s="2" t="s">
        <v>293</v>
      </c>
      <c r="D334" s="15" t="s">
        <v>323</v>
      </c>
      <c r="E334" s="30">
        <f>5.132-2.57+(0.042)-1.106-0.614</f>
        <v>0.88399999999999956</v>
      </c>
    </row>
    <row r="335" spans="1:5" ht="34">
      <c r="A335" s="35" t="s">
        <v>120</v>
      </c>
      <c r="B335" s="1" t="s">
        <v>78</v>
      </c>
      <c r="C335" s="2" t="s">
        <v>293</v>
      </c>
      <c r="D335" s="15" t="s">
        <v>325</v>
      </c>
      <c r="E335" s="30">
        <f>0.614</f>
        <v>0.61399999999999999</v>
      </c>
    </row>
    <row r="336" spans="1:5" ht="34">
      <c r="A336" s="35" t="s">
        <v>120</v>
      </c>
      <c r="B336" s="1" t="s">
        <v>78</v>
      </c>
      <c r="C336" s="2" t="s">
        <v>293</v>
      </c>
      <c r="D336" s="15" t="s">
        <v>326</v>
      </c>
      <c r="E336" s="30">
        <f>4.976-0.636-0.188-(0.022)-0.26-(0.022)</f>
        <v>3.8480000000000003</v>
      </c>
    </row>
    <row r="337" spans="1:5" ht="34">
      <c r="A337" s="35" t="s">
        <v>120</v>
      </c>
      <c r="B337" s="1" t="s">
        <v>78</v>
      </c>
      <c r="C337" s="2" t="s">
        <v>293</v>
      </c>
      <c r="D337" s="15" t="s">
        <v>327</v>
      </c>
      <c r="E337" s="31">
        <f>11.54-8.6-(0.072)-1.156-(0.01)-1.332-(0.002)</f>
        <v>0.36799999999999944</v>
      </c>
    </row>
    <row r="338" spans="1:5" ht="34">
      <c r="A338" s="35" t="s">
        <v>120</v>
      </c>
      <c r="B338" s="1" t="s">
        <v>78</v>
      </c>
      <c r="C338" s="2" t="s">
        <v>293</v>
      </c>
      <c r="D338" s="15" t="s">
        <v>328</v>
      </c>
      <c r="E338" s="31">
        <f>12.982-6.491-1.5</f>
        <v>4.9909999999999997</v>
      </c>
    </row>
    <row r="339" spans="1:5" ht="34">
      <c r="A339" s="35" t="s">
        <v>120</v>
      </c>
      <c r="B339" s="1" t="s">
        <v>78</v>
      </c>
      <c r="C339" s="2" t="s">
        <v>293</v>
      </c>
      <c r="D339" s="15" t="s">
        <v>329</v>
      </c>
      <c r="E339" s="31">
        <f>13.196</f>
        <v>13.196</v>
      </c>
    </row>
    <row r="340" spans="1:5" ht="34">
      <c r="A340" s="35" t="s">
        <v>120</v>
      </c>
      <c r="B340" s="1" t="s">
        <v>78</v>
      </c>
      <c r="C340" s="2" t="s">
        <v>293</v>
      </c>
      <c r="D340" s="15" t="s">
        <v>330</v>
      </c>
      <c r="E340" s="30">
        <f>14.662-7.414-1.592-0.88+(0.152)</f>
        <v>4.9280000000000008</v>
      </c>
    </row>
    <row r="341" spans="1:5" ht="34">
      <c r="A341" s="35" t="s">
        <v>120</v>
      </c>
      <c r="B341" s="1" t="s">
        <v>78</v>
      </c>
      <c r="C341" s="2" t="s">
        <v>293</v>
      </c>
      <c r="D341" s="15" t="s">
        <v>331</v>
      </c>
      <c r="E341" s="30">
        <f>0.88</f>
        <v>0.88</v>
      </c>
    </row>
    <row r="342" spans="1:5" ht="34">
      <c r="A342" s="35" t="s">
        <v>120</v>
      </c>
      <c r="B342" s="1" t="s">
        <v>78</v>
      </c>
      <c r="C342" s="2" t="s">
        <v>293</v>
      </c>
      <c r="D342" s="15" t="s">
        <v>332</v>
      </c>
      <c r="E342" s="30">
        <f>7.414-0.994</f>
        <v>6.42</v>
      </c>
    </row>
    <row r="343" spans="1:5" ht="34">
      <c r="A343" s="35" t="s">
        <v>120</v>
      </c>
      <c r="B343" s="1" t="s">
        <v>78</v>
      </c>
      <c r="C343" s="2" t="s">
        <v>333</v>
      </c>
      <c r="D343" s="15" t="s">
        <v>334</v>
      </c>
      <c r="E343" s="30">
        <f>8.146-2.802+(0.27)-1.1-3.9</f>
        <v>0.61400000000000121</v>
      </c>
    </row>
    <row r="344" spans="1:5" ht="34">
      <c r="A344" s="35" t="s">
        <v>120</v>
      </c>
      <c r="B344" s="1" t="s">
        <v>78</v>
      </c>
      <c r="C344" s="2" t="s">
        <v>335</v>
      </c>
      <c r="D344" s="15" t="s">
        <v>336</v>
      </c>
      <c r="E344" s="31">
        <f>17.488-8.78-0.168-0.138-0.1-0.142+(0.112)-2.218-1.234-2.5</f>
        <v>2.3200000000000021</v>
      </c>
    </row>
    <row r="345" spans="1:5" ht="34">
      <c r="A345" s="35" t="s">
        <v>120</v>
      </c>
      <c r="B345" s="1" t="s">
        <v>78</v>
      </c>
      <c r="C345" s="2" t="s">
        <v>293</v>
      </c>
      <c r="D345" s="15" t="s">
        <v>337</v>
      </c>
      <c r="E345" s="30">
        <f>9.627-4.888+0.141-1.674-(0.01)-1.624-(0.012)</f>
        <v>1.5600000000000009</v>
      </c>
    </row>
    <row r="346" spans="1:5" ht="34">
      <c r="A346" s="35" t="s">
        <v>120</v>
      </c>
      <c r="B346" s="1" t="s">
        <v>78</v>
      </c>
      <c r="C346" s="2" t="s">
        <v>333</v>
      </c>
      <c r="D346" s="15" t="s">
        <v>338</v>
      </c>
      <c r="E346" s="30">
        <f>8.905-1.666-0.96+(0.197)-1.576-0.938</f>
        <v>3.9619999999999989</v>
      </c>
    </row>
    <row r="347" spans="1:5" ht="34">
      <c r="A347" s="35" t="s">
        <v>120</v>
      </c>
      <c r="B347" s="9" t="s">
        <v>84</v>
      </c>
      <c r="C347" s="9" t="s">
        <v>339</v>
      </c>
      <c r="D347" s="14" t="s">
        <v>340</v>
      </c>
      <c r="E347" s="23">
        <f>1.18-0.098-0.04-0.05+0.002-0.57-0.242</f>
        <v>0.18199999999999983</v>
      </c>
    </row>
    <row r="348" spans="1:5" ht="34">
      <c r="A348" s="35" t="s">
        <v>120</v>
      </c>
      <c r="B348" s="9" t="s">
        <v>84</v>
      </c>
      <c r="C348" s="9" t="s">
        <v>341</v>
      </c>
      <c r="D348" s="14" t="s">
        <v>342</v>
      </c>
      <c r="E348" s="23">
        <f>1.4-0.14-0.078-0.076-0.48+0.004-0.236</f>
        <v>0.39399999999999968</v>
      </c>
    </row>
    <row r="349" spans="1:5" ht="34">
      <c r="A349" s="35" t="s">
        <v>120</v>
      </c>
      <c r="B349" s="9" t="s">
        <v>84</v>
      </c>
      <c r="C349" s="9" t="s">
        <v>343</v>
      </c>
      <c r="D349" s="14" t="s">
        <v>344</v>
      </c>
      <c r="E349" s="22">
        <f>3.57-1.708-0.97-0.15-0.086-(0.002)-0.145-(0.001)-0.07-(0.002)</f>
        <v>0.43599999999999989</v>
      </c>
    </row>
    <row r="350" spans="1:5" ht="34">
      <c r="A350" s="35" t="s">
        <v>120</v>
      </c>
      <c r="B350" s="9" t="s">
        <v>84</v>
      </c>
      <c r="C350" s="9" t="s">
        <v>138</v>
      </c>
      <c r="D350" s="14" t="s">
        <v>213</v>
      </c>
      <c r="E350" s="23">
        <f>5.71-2.79</f>
        <v>2.92</v>
      </c>
    </row>
    <row r="351" spans="1:5" ht="34">
      <c r="A351" s="35" t="s">
        <v>120</v>
      </c>
      <c r="B351" s="9" t="s">
        <v>84</v>
      </c>
      <c r="C351" s="9" t="s">
        <v>343</v>
      </c>
      <c r="D351" s="14" t="s">
        <v>345</v>
      </c>
      <c r="E351" s="22">
        <f>3.212-0.546+0.004-0.27-1.604-0.586</f>
        <v>0.2100000000000003</v>
      </c>
    </row>
    <row r="352" spans="1:5" ht="34">
      <c r="A352" s="35" t="s">
        <v>120</v>
      </c>
      <c r="B352" s="9" t="s">
        <v>84</v>
      </c>
      <c r="C352" s="9" t="s">
        <v>341</v>
      </c>
      <c r="D352" s="14" t="s">
        <v>346</v>
      </c>
      <c r="E352" s="23">
        <f>3.569-1.772-0.013-0.594-0.006-0.534</f>
        <v>0.64999999999999991</v>
      </c>
    </row>
    <row r="353" spans="1:5" ht="34">
      <c r="A353" s="35" t="s">
        <v>120</v>
      </c>
      <c r="B353" s="9" t="s">
        <v>84</v>
      </c>
      <c r="C353" s="9" t="s">
        <v>343</v>
      </c>
      <c r="D353" s="14" t="s">
        <v>347</v>
      </c>
      <c r="E353" s="22">
        <f>4.74-2.108+0.02-0.612-1.506</f>
        <v>0.53400000000000003</v>
      </c>
    </row>
    <row r="354" spans="1:5" ht="34">
      <c r="A354" s="35" t="s">
        <v>120</v>
      </c>
      <c r="B354" s="1" t="s">
        <v>94</v>
      </c>
      <c r="C354" s="2" t="s">
        <v>348</v>
      </c>
      <c r="D354" s="12" t="s">
        <v>349</v>
      </c>
      <c r="E354" s="28">
        <f>0.288-0.048-(0.004)-0.01-0.024-0.024</f>
        <v>0.17799999999999999</v>
      </c>
    </row>
    <row r="355" spans="1:5" ht="34">
      <c r="A355" s="35" t="s">
        <v>120</v>
      </c>
      <c r="B355" s="1" t="s">
        <v>94</v>
      </c>
      <c r="C355" s="2" t="s">
        <v>348</v>
      </c>
      <c r="D355" s="12" t="s">
        <v>350</v>
      </c>
      <c r="E355" s="30">
        <f>2.295-0.572-0.57</f>
        <v>1.153</v>
      </c>
    </row>
    <row r="356" spans="1:5" ht="34">
      <c r="A356" s="35" t="s">
        <v>120</v>
      </c>
      <c r="B356" s="1" t="s">
        <v>94</v>
      </c>
      <c r="C356" s="2" t="s">
        <v>348</v>
      </c>
      <c r="D356" s="12" t="s">
        <v>351</v>
      </c>
      <c r="E356" s="30">
        <f>0.572-0.306-0.048</f>
        <v>0.21799999999999997</v>
      </c>
    </row>
    <row r="357" spans="1:5" ht="34">
      <c r="A357" s="35" t="s">
        <v>120</v>
      </c>
      <c r="B357" s="1" t="s">
        <v>94</v>
      </c>
      <c r="C357" s="2" t="s">
        <v>348</v>
      </c>
      <c r="D357" s="12" t="s">
        <v>352</v>
      </c>
      <c r="E357" s="30">
        <f>0.57-0.382</f>
        <v>0.18799999999999994</v>
      </c>
    </row>
    <row r="358" spans="1:5" ht="34">
      <c r="A358" s="35" t="s">
        <v>120</v>
      </c>
      <c r="B358" s="1" t="s">
        <v>94</v>
      </c>
      <c r="C358" s="2" t="s">
        <v>348</v>
      </c>
      <c r="D358" s="15" t="s">
        <v>154</v>
      </c>
      <c r="E358" s="25">
        <f>2.16-0.716-0.718</f>
        <v>0.7260000000000002</v>
      </c>
    </row>
    <row r="359" spans="1:5" ht="34">
      <c r="A359" s="35" t="s">
        <v>120</v>
      </c>
      <c r="B359" s="1" t="s">
        <v>94</v>
      </c>
      <c r="C359" s="2" t="s">
        <v>348</v>
      </c>
      <c r="D359" s="15" t="s">
        <v>353</v>
      </c>
      <c r="E359" s="28">
        <f>0.716-0.31</f>
        <v>0.40599999999999997</v>
      </c>
    </row>
    <row r="360" spans="1:5" ht="34">
      <c r="A360" s="35" t="s">
        <v>120</v>
      </c>
      <c r="B360" s="1" t="s">
        <v>94</v>
      </c>
      <c r="C360" s="2" t="s">
        <v>348</v>
      </c>
      <c r="D360" s="15" t="s">
        <v>354</v>
      </c>
      <c r="E360" s="28">
        <f>0.718-0.36-0.06-(0.002)</f>
        <v>0.29599999999999999</v>
      </c>
    </row>
    <row r="361" spans="1:5" ht="34">
      <c r="A361" s="35" t="s">
        <v>120</v>
      </c>
      <c r="B361" s="1" t="s">
        <v>94</v>
      </c>
      <c r="C361" s="2" t="s">
        <v>348</v>
      </c>
      <c r="D361" s="15" t="s">
        <v>355</v>
      </c>
      <c r="E361" s="28">
        <f>1.592</f>
        <v>1.5920000000000001</v>
      </c>
    </row>
    <row r="362" spans="1:5" ht="34">
      <c r="A362" s="35" t="s">
        <v>120</v>
      </c>
      <c r="B362" s="1" t="s">
        <v>94</v>
      </c>
      <c r="C362" s="2" t="s">
        <v>348</v>
      </c>
      <c r="D362" s="15" t="s">
        <v>356</v>
      </c>
      <c r="E362" s="28">
        <f>0.848-0.356</f>
        <v>0.49199999999999999</v>
      </c>
    </row>
    <row r="363" spans="1:5" ht="34">
      <c r="A363" s="35" t="s">
        <v>120</v>
      </c>
      <c r="B363" s="1" t="s">
        <v>94</v>
      </c>
      <c r="C363" s="2" t="s">
        <v>298</v>
      </c>
      <c r="D363" s="15" t="s">
        <v>276</v>
      </c>
      <c r="E363" s="28">
        <f>2.556-1.7</f>
        <v>0.85600000000000009</v>
      </c>
    </row>
    <row r="364" spans="1:5" ht="34">
      <c r="A364" s="35" t="s">
        <v>120</v>
      </c>
      <c r="B364" s="1" t="s">
        <v>94</v>
      </c>
      <c r="C364" s="2" t="s">
        <v>348</v>
      </c>
      <c r="D364" s="15" t="s">
        <v>357</v>
      </c>
      <c r="E364" s="28">
        <f>2.982-1.982-0.326-(0.014)-0.084-0.166-(0.002)</f>
        <v>0.40800000000000014</v>
      </c>
    </row>
    <row r="365" spans="1:5" ht="34">
      <c r="A365" s="35" t="s">
        <v>120</v>
      </c>
      <c r="B365" s="1" t="s">
        <v>94</v>
      </c>
      <c r="C365" s="2" t="s">
        <v>293</v>
      </c>
      <c r="D365" s="15" t="s">
        <v>157</v>
      </c>
      <c r="E365" s="28">
        <f>2.982</f>
        <v>2.9820000000000002</v>
      </c>
    </row>
    <row r="366" spans="1:5" ht="34">
      <c r="A366" s="35" t="s">
        <v>120</v>
      </c>
      <c r="B366" s="10" t="s">
        <v>94</v>
      </c>
      <c r="C366" s="10" t="s">
        <v>293</v>
      </c>
      <c r="D366" s="15" t="s">
        <v>358</v>
      </c>
      <c r="E366" s="30">
        <f>1.042-0.45+(0.02)-0.348-0.134</f>
        <v>0.13000000000000012</v>
      </c>
    </row>
    <row r="367" spans="1:5" ht="34">
      <c r="A367" s="35" t="s">
        <v>120</v>
      </c>
      <c r="B367" s="1" t="s">
        <v>94</v>
      </c>
      <c r="C367" s="2" t="s">
        <v>293</v>
      </c>
      <c r="D367" s="15" t="s">
        <v>359</v>
      </c>
      <c r="E367" s="30">
        <f>1.148-0.494-0.202-0.248</f>
        <v>0.2039999999999999</v>
      </c>
    </row>
    <row r="368" spans="1:5" ht="34">
      <c r="A368" s="35" t="s">
        <v>120</v>
      </c>
      <c r="B368" s="10" t="s">
        <v>94</v>
      </c>
      <c r="C368" s="10" t="s">
        <v>293</v>
      </c>
      <c r="D368" s="15" t="s">
        <v>360</v>
      </c>
      <c r="E368" s="30">
        <f>0.56+(0.2)-0.504-(0.006)-0.102-(0.002)</f>
        <v>0.14600000000000002</v>
      </c>
    </row>
    <row r="369" spans="1:5" ht="34">
      <c r="A369" s="35" t="s">
        <v>120</v>
      </c>
      <c r="B369" s="10" t="s">
        <v>94</v>
      </c>
      <c r="C369" s="10" t="s">
        <v>293</v>
      </c>
      <c r="D369" s="15" t="s">
        <v>361</v>
      </c>
      <c r="E369" s="30">
        <f>1.516</f>
        <v>1.516</v>
      </c>
    </row>
    <row r="370" spans="1:5" ht="34">
      <c r="A370" s="35" t="s">
        <v>120</v>
      </c>
      <c r="B370" s="1" t="s">
        <v>94</v>
      </c>
      <c r="C370" s="2" t="s">
        <v>293</v>
      </c>
      <c r="D370" s="15" t="s">
        <v>362</v>
      </c>
      <c r="E370" s="30">
        <f>5.712-1.428-1.41-1.41-0.354-0.052-0.32-0.312-(0.012)-0.106-0.118-(0.004)-0.062-0.034</f>
        <v>8.9999999999999775E-2</v>
      </c>
    </row>
    <row r="371" spans="1:5" ht="34">
      <c r="A371" s="35" t="s">
        <v>120</v>
      </c>
      <c r="B371" s="1" t="s">
        <v>94</v>
      </c>
      <c r="C371" s="2" t="s">
        <v>293</v>
      </c>
      <c r="D371" s="15" t="s">
        <v>142</v>
      </c>
      <c r="E371" s="30">
        <f>19.992-1.392-1.392-1.388-1.4-2.782-2.782-1.382</f>
        <v>7.474000000000002</v>
      </c>
    </row>
    <row r="372" spans="1:5" ht="34">
      <c r="A372" s="35" t="s">
        <v>120</v>
      </c>
      <c r="B372" s="1" t="s">
        <v>94</v>
      </c>
      <c r="C372" s="2" t="s">
        <v>293</v>
      </c>
      <c r="D372" s="15" t="s">
        <v>363</v>
      </c>
      <c r="E372" s="30">
        <f>1.392-0.464-0.468-0.048-(0.004)-0.098</f>
        <v>0.30999999999999994</v>
      </c>
    </row>
    <row r="373" spans="1:5" ht="34">
      <c r="A373" s="35" t="s">
        <v>120</v>
      </c>
      <c r="B373" s="1" t="s">
        <v>94</v>
      </c>
      <c r="C373" s="2" t="s">
        <v>293</v>
      </c>
      <c r="D373" s="15" t="s">
        <v>364</v>
      </c>
      <c r="E373" s="30">
        <f>1.382-0.51</f>
        <v>0.87199999999999989</v>
      </c>
    </row>
    <row r="374" spans="1:5" ht="34">
      <c r="A374" s="35" t="s">
        <v>120</v>
      </c>
      <c r="B374" s="1" t="s">
        <v>94</v>
      </c>
      <c r="C374" s="2" t="s">
        <v>293</v>
      </c>
      <c r="D374" s="15" t="s">
        <v>365</v>
      </c>
      <c r="E374" s="30">
        <f>1.785-0.59-0.594-(0.021)-0.294-0.076-(0.002)</f>
        <v>0.20799999999999985</v>
      </c>
    </row>
    <row r="375" spans="1:5" ht="34">
      <c r="A375" s="35" t="s">
        <v>120</v>
      </c>
      <c r="B375" s="1" t="s">
        <v>94</v>
      </c>
      <c r="C375" s="2" t="s">
        <v>293</v>
      </c>
      <c r="D375" s="15" t="s">
        <v>145</v>
      </c>
      <c r="E375" s="30">
        <f>10.71-1.758-1.76-1.754-1.8</f>
        <v>3.6380000000000026</v>
      </c>
    </row>
    <row r="376" spans="1:5" ht="34">
      <c r="A376" s="35" t="s">
        <v>120</v>
      </c>
      <c r="B376" s="1" t="s">
        <v>94</v>
      </c>
      <c r="C376" s="2" t="s">
        <v>293</v>
      </c>
      <c r="D376" s="15" t="s">
        <v>366</v>
      </c>
      <c r="E376" s="30">
        <f>1.758-0.294-0.5-0.88-(0.006)</f>
        <v>7.7999999999999958E-2</v>
      </c>
    </row>
    <row r="377" spans="1:5" ht="34">
      <c r="A377" s="35" t="s">
        <v>120</v>
      </c>
      <c r="B377" s="1" t="s">
        <v>94</v>
      </c>
      <c r="C377" s="2" t="s">
        <v>293</v>
      </c>
      <c r="D377" s="15" t="s">
        <v>367</v>
      </c>
      <c r="E377" s="30">
        <f>1.76-0.3-0.89</f>
        <v>0.56999999999999995</v>
      </c>
    </row>
    <row r="378" spans="1:5" ht="34">
      <c r="A378" s="35" t="s">
        <v>120</v>
      </c>
      <c r="B378" s="1" t="s">
        <v>94</v>
      </c>
      <c r="C378" s="2" t="s">
        <v>293</v>
      </c>
      <c r="D378" s="15" t="s">
        <v>145</v>
      </c>
      <c r="E378" s="30">
        <f>3.57</f>
        <v>3.57</v>
      </c>
    </row>
    <row r="379" spans="1:5" ht="34">
      <c r="A379" s="35" t="s">
        <v>120</v>
      </c>
      <c r="B379" s="1" t="s">
        <v>94</v>
      </c>
      <c r="C379" s="2" t="s">
        <v>293</v>
      </c>
      <c r="D379" s="15" t="s">
        <v>368</v>
      </c>
      <c r="E379" s="30">
        <f>2.132-1.064-0.644-0.356-(0.004)</f>
        <v>6.4000000000000057E-2</v>
      </c>
    </row>
    <row r="380" spans="1:5" ht="34">
      <c r="A380" s="35" t="s">
        <v>120</v>
      </c>
      <c r="B380" s="1" t="s">
        <v>94</v>
      </c>
      <c r="C380" s="2" t="s">
        <v>293</v>
      </c>
      <c r="D380" s="15" t="s">
        <v>369</v>
      </c>
      <c r="E380" s="30">
        <f>2.142-1.06-0.532-(0.026)-0.106-0.352-(0.006)</f>
        <v>5.9999999999999838E-2</v>
      </c>
    </row>
    <row r="381" spans="1:5" ht="34">
      <c r="A381" s="35" t="s">
        <v>120</v>
      </c>
      <c r="B381" s="1" t="s">
        <v>94</v>
      </c>
      <c r="C381" s="2" t="s">
        <v>293</v>
      </c>
      <c r="D381" s="15" t="s">
        <v>370</v>
      </c>
      <c r="E381" s="30">
        <f>2.1-0.35-0.704-(0.006)-0.708-(0.008)-0.098-(0.008)</f>
        <v>0.21800000000000005</v>
      </c>
    </row>
    <row r="382" spans="1:5" ht="34">
      <c r="A382" s="35" t="s">
        <v>120</v>
      </c>
      <c r="B382" s="1" t="s">
        <v>94</v>
      </c>
      <c r="C382" s="2" t="s">
        <v>293</v>
      </c>
      <c r="D382" s="15" t="s">
        <v>146</v>
      </c>
      <c r="E382" s="30">
        <f>4.284-2.142</f>
        <v>2.1419999999999999</v>
      </c>
    </row>
    <row r="383" spans="1:5" ht="34">
      <c r="A383" s="35" t="s">
        <v>120</v>
      </c>
      <c r="B383" s="1" t="s">
        <v>94</v>
      </c>
      <c r="C383" s="2" t="s">
        <v>293</v>
      </c>
      <c r="D383" s="15" t="s">
        <v>371</v>
      </c>
      <c r="E383" s="30">
        <f>5.14-2.502-1.888-(0.118)</f>
        <v>0.63200000000000001</v>
      </c>
    </row>
    <row r="384" spans="1:5" ht="34">
      <c r="A384" s="35" t="s">
        <v>120</v>
      </c>
      <c r="B384" s="1" t="s">
        <v>94</v>
      </c>
      <c r="C384" s="2" t="s">
        <v>293</v>
      </c>
      <c r="D384" s="15" t="s">
        <v>210</v>
      </c>
      <c r="E384" s="30">
        <f>10.28-2.57</f>
        <v>7.7099999999999991</v>
      </c>
    </row>
    <row r="385" spans="1:5" ht="34">
      <c r="A385" s="35" t="s">
        <v>120</v>
      </c>
      <c r="B385" s="1" t="s">
        <v>94</v>
      </c>
      <c r="C385" s="2" t="s">
        <v>293</v>
      </c>
      <c r="D385" s="15" t="s">
        <v>372</v>
      </c>
      <c r="E385" s="30">
        <f>2.57-1.272-0.018</f>
        <v>1.2799999999999998</v>
      </c>
    </row>
    <row r="386" spans="1:5" ht="34">
      <c r="A386" s="35" t="s">
        <v>120</v>
      </c>
      <c r="B386" s="1" t="s">
        <v>94</v>
      </c>
      <c r="C386" s="2" t="s">
        <v>293</v>
      </c>
      <c r="D386" s="15" t="s">
        <v>373</v>
      </c>
      <c r="E386" s="30">
        <f>2.806-0.94-0.704-0.616-0.192</f>
        <v>0.35400000000000015</v>
      </c>
    </row>
    <row r="387" spans="1:5" ht="34">
      <c r="A387" s="35" t="s">
        <v>120</v>
      </c>
      <c r="B387" s="1" t="s">
        <v>94</v>
      </c>
      <c r="C387" s="2" t="s">
        <v>293</v>
      </c>
      <c r="D387" s="15" t="s">
        <v>374</v>
      </c>
      <c r="E387" s="30">
        <f>2.826-1.412-0.706-(0.01)</f>
        <v>0.69800000000000018</v>
      </c>
    </row>
    <row r="388" spans="1:5" ht="34">
      <c r="A388" s="35" t="s">
        <v>120</v>
      </c>
      <c r="B388" s="10" t="s">
        <v>94</v>
      </c>
      <c r="C388" s="10" t="s">
        <v>348</v>
      </c>
      <c r="D388" s="15" t="s">
        <v>375</v>
      </c>
      <c r="E388" s="30">
        <f>3.35-2.1-0.012-0.14-(0.016)-0.224-(0.002)-0.336</f>
        <v>0.5199999999999998</v>
      </c>
    </row>
    <row r="389" spans="1:5" ht="34">
      <c r="A389" s="35" t="s">
        <v>120</v>
      </c>
      <c r="B389" s="10" t="s">
        <v>94</v>
      </c>
      <c r="C389" s="10" t="s">
        <v>348</v>
      </c>
      <c r="D389" s="15" t="s">
        <v>376</v>
      </c>
      <c r="E389" s="30">
        <f>6.52-3.298-0.866+(0.032)-0.924-0.358</f>
        <v>1.1059999999999994</v>
      </c>
    </row>
    <row r="390" spans="1:5" ht="34">
      <c r="A390" s="35" t="s">
        <v>120</v>
      </c>
      <c r="B390" s="10" t="s">
        <v>94</v>
      </c>
      <c r="C390" s="10" t="s">
        <v>348</v>
      </c>
      <c r="D390" s="15" t="s">
        <v>215</v>
      </c>
      <c r="E390" s="30">
        <f>9.636-3.234-3.24</f>
        <v>3.161999999999999</v>
      </c>
    </row>
    <row r="391" spans="1:5" ht="34">
      <c r="A391" s="35" t="s">
        <v>120</v>
      </c>
      <c r="B391" s="10" t="s">
        <v>94</v>
      </c>
      <c r="C391" s="10" t="s">
        <v>348</v>
      </c>
      <c r="D391" s="15" t="s">
        <v>216</v>
      </c>
      <c r="E391" s="30">
        <f>3.234-2.948</f>
        <v>0.28600000000000003</v>
      </c>
    </row>
    <row r="392" spans="1:5" ht="34">
      <c r="A392" s="35" t="s">
        <v>120</v>
      </c>
      <c r="B392" s="10" t="s">
        <v>94</v>
      </c>
      <c r="C392" s="10" t="s">
        <v>348</v>
      </c>
      <c r="D392" s="15" t="s">
        <v>377</v>
      </c>
      <c r="E392" s="30">
        <f>3.159</f>
        <v>3.1589999999999998</v>
      </c>
    </row>
    <row r="393" spans="1:5" ht="34">
      <c r="A393" s="35" t="s">
        <v>120</v>
      </c>
      <c r="B393" s="10" t="s">
        <v>94</v>
      </c>
      <c r="C393" s="10" t="s">
        <v>348</v>
      </c>
      <c r="D393" s="15" t="s">
        <v>215</v>
      </c>
      <c r="E393" s="30">
        <f>6.424</f>
        <v>6.4240000000000004</v>
      </c>
    </row>
    <row r="394" spans="1:5" ht="34">
      <c r="A394" s="35" t="s">
        <v>120</v>
      </c>
      <c r="B394" s="1" t="s">
        <v>94</v>
      </c>
      <c r="C394" s="2" t="s">
        <v>293</v>
      </c>
      <c r="D394" s="15" t="s">
        <v>378</v>
      </c>
      <c r="E394" s="30">
        <f>3.726-1.176-0.814-0.197-0.624-(0.005)-0.192-(0.002)-0.106-(0.012)</f>
        <v>0.59799999999999975</v>
      </c>
    </row>
    <row r="395" spans="1:5" ht="34">
      <c r="A395" s="35" t="s">
        <v>120</v>
      </c>
      <c r="B395" s="1" t="s">
        <v>94</v>
      </c>
      <c r="C395" s="2" t="s">
        <v>293</v>
      </c>
      <c r="D395" s="15" t="s">
        <v>379</v>
      </c>
      <c r="E395" s="30">
        <f>3.586-1.488-1.786-(0.008)</f>
        <v>0.30399999999999983</v>
      </c>
    </row>
    <row r="396" spans="1:5" ht="34">
      <c r="A396" s="35" t="s">
        <v>120</v>
      </c>
      <c r="B396" s="1" t="s">
        <v>94</v>
      </c>
      <c r="C396" s="2" t="s">
        <v>293</v>
      </c>
      <c r="D396" s="15" t="s">
        <v>380</v>
      </c>
      <c r="E396" s="30">
        <f>3.569-1.77</f>
        <v>1.7989999999999999</v>
      </c>
    </row>
    <row r="397" spans="1:5" ht="34">
      <c r="A397" s="35" t="s">
        <v>120</v>
      </c>
      <c r="B397" s="1" t="s">
        <v>94</v>
      </c>
      <c r="C397" s="2" t="s">
        <v>293</v>
      </c>
      <c r="D397" s="15" t="s">
        <v>381</v>
      </c>
      <c r="E397" s="30">
        <f>4.508-2.238-1.496-(0.006)-0.53-(0.004)</f>
        <v>0.23399999999999999</v>
      </c>
    </row>
    <row r="398" spans="1:5" ht="34">
      <c r="A398" s="35" t="s">
        <v>120</v>
      </c>
      <c r="B398" s="1" t="s">
        <v>94</v>
      </c>
      <c r="C398" s="2" t="s">
        <v>293</v>
      </c>
      <c r="D398" s="15" t="s">
        <v>382</v>
      </c>
      <c r="E398" s="30">
        <f>4.5-2.246-0.94-1.046-(0.006)</f>
        <v>0.26200000000000001</v>
      </c>
    </row>
    <row r="399" spans="1:5" ht="34">
      <c r="A399" s="35" t="s">
        <v>120</v>
      </c>
      <c r="B399" s="1" t="s">
        <v>94</v>
      </c>
      <c r="C399" s="2" t="s">
        <v>293</v>
      </c>
      <c r="D399" s="15" t="s">
        <v>223</v>
      </c>
      <c r="E399" s="30">
        <f>9.08-4.548</f>
        <v>4.532</v>
      </c>
    </row>
    <row r="400" spans="1:5" ht="34">
      <c r="A400" s="35" t="s">
        <v>120</v>
      </c>
      <c r="B400" s="1" t="s">
        <v>94</v>
      </c>
      <c r="C400" s="2" t="s">
        <v>293</v>
      </c>
      <c r="D400" s="15" t="s">
        <v>383</v>
      </c>
      <c r="E400" s="30">
        <f>9.08-4.53-2.262-(0.022)-0.428-0.42-(0.004)-0.106-(0.016)</f>
        <v>1.292</v>
      </c>
    </row>
    <row r="401" spans="1:5" ht="34">
      <c r="A401" s="35" t="s">
        <v>120</v>
      </c>
      <c r="B401" s="1" t="s">
        <v>94</v>
      </c>
      <c r="C401" s="2" t="s">
        <v>298</v>
      </c>
      <c r="D401" s="15" t="s">
        <v>384</v>
      </c>
      <c r="E401" s="30">
        <f>4.52-1.51-(0.012)-2.2</f>
        <v>0.7979999999999996</v>
      </c>
    </row>
    <row r="402" spans="1:5" ht="34">
      <c r="A402" s="35" t="s">
        <v>120</v>
      </c>
      <c r="B402" s="1" t="s">
        <v>94</v>
      </c>
      <c r="C402" s="2" t="s">
        <v>293</v>
      </c>
      <c r="D402" s="15" t="s">
        <v>226</v>
      </c>
      <c r="E402" s="30">
        <f>3.66</f>
        <v>3.66</v>
      </c>
    </row>
    <row r="403" spans="1:5" ht="34">
      <c r="A403" s="35" t="s">
        <v>120</v>
      </c>
      <c r="B403" s="1" t="s">
        <v>94</v>
      </c>
      <c r="C403" s="2" t="s">
        <v>293</v>
      </c>
      <c r="D403" s="10" t="s">
        <v>385</v>
      </c>
      <c r="E403" s="24">
        <f>3.022-1.412</f>
        <v>1.6099999999999999</v>
      </c>
    </row>
    <row r="404" spans="1:5" ht="34">
      <c r="A404" s="35" t="s">
        <v>120</v>
      </c>
      <c r="B404" s="1" t="s">
        <v>94</v>
      </c>
      <c r="C404" s="2" t="s">
        <v>293</v>
      </c>
      <c r="D404" s="10" t="s">
        <v>386</v>
      </c>
      <c r="E404" s="28">
        <f>5.9-2.968-0.93-0.024-0.198-(0.002)-0.3-(0.004)-0.63-(0.006)-0.246-(0.002)</f>
        <v>0.59000000000000019</v>
      </c>
    </row>
    <row r="405" spans="1:5" ht="34">
      <c r="A405" s="35" t="s">
        <v>120</v>
      </c>
      <c r="B405" s="1" t="s">
        <v>94</v>
      </c>
      <c r="C405" s="2" t="s">
        <v>348</v>
      </c>
      <c r="D405" s="15" t="s">
        <v>387</v>
      </c>
      <c r="E405" s="28">
        <f>3.08-2.384-(0.026)-0.208</f>
        <v>0.46200000000000019</v>
      </c>
    </row>
    <row r="406" spans="1:5" ht="34">
      <c r="A406" s="35" t="s">
        <v>120</v>
      </c>
      <c r="B406" s="1" t="s">
        <v>94</v>
      </c>
      <c r="C406" s="2" t="s">
        <v>348</v>
      </c>
      <c r="D406" s="15" t="s">
        <v>388</v>
      </c>
      <c r="E406" s="28">
        <f>2.894-1.2</f>
        <v>1.6940000000000002</v>
      </c>
    </row>
    <row r="407" spans="1:5" ht="34">
      <c r="A407" s="35" t="s">
        <v>120</v>
      </c>
      <c r="B407" s="1" t="s">
        <v>94</v>
      </c>
      <c r="C407" s="2" t="s">
        <v>348</v>
      </c>
      <c r="D407" s="15" t="s">
        <v>389</v>
      </c>
      <c r="E407" s="28">
        <f>5.865-0.982+(0.087)-2.986-1.488-(0.022)</f>
        <v>0.47399999999999953</v>
      </c>
    </row>
    <row r="408" spans="1:5" ht="34">
      <c r="A408" s="35" t="s">
        <v>120</v>
      </c>
      <c r="B408" s="1" t="s">
        <v>94</v>
      </c>
      <c r="C408" s="10" t="s">
        <v>251</v>
      </c>
      <c r="D408" s="15" t="s">
        <v>390</v>
      </c>
      <c r="E408" s="28">
        <f>9.58</f>
        <v>9.58</v>
      </c>
    </row>
    <row r="409" spans="1:5" ht="34">
      <c r="A409" s="35" t="s">
        <v>120</v>
      </c>
      <c r="B409" s="10" t="s">
        <v>94</v>
      </c>
      <c r="C409" s="10" t="s">
        <v>293</v>
      </c>
      <c r="D409" s="15" t="s">
        <v>391</v>
      </c>
      <c r="E409" s="30">
        <f>0.126</f>
        <v>0.126</v>
      </c>
    </row>
    <row r="410" spans="1:5" ht="34">
      <c r="A410" s="35" t="s">
        <v>120</v>
      </c>
      <c r="B410" s="1" t="s">
        <v>94</v>
      </c>
      <c r="C410" s="2" t="s">
        <v>251</v>
      </c>
      <c r="D410" s="15" t="s">
        <v>392</v>
      </c>
      <c r="E410" s="30">
        <f>4.82-4.236+(0.04)</f>
        <v>0.62400000000000055</v>
      </c>
    </row>
    <row r="411" spans="1:5" ht="34">
      <c r="A411" s="35" t="s">
        <v>120</v>
      </c>
      <c r="B411" s="1" t="s">
        <v>94</v>
      </c>
      <c r="C411" s="2" t="s">
        <v>251</v>
      </c>
      <c r="D411" s="15" t="s">
        <v>393</v>
      </c>
      <c r="E411" s="30">
        <f>4.82</f>
        <v>4.82</v>
      </c>
    </row>
    <row r="412" spans="1:5" ht="34">
      <c r="A412" s="35" t="s">
        <v>120</v>
      </c>
      <c r="B412" s="1" t="s">
        <v>94</v>
      </c>
      <c r="C412" s="2" t="s">
        <v>293</v>
      </c>
      <c r="D412" s="15" t="s">
        <v>394</v>
      </c>
      <c r="E412" s="31">
        <f>0.16-0.051</f>
        <v>0.10900000000000001</v>
      </c>
    </row>
    <row r="413" spans="1:5" ht="34">
      <c r="A413" s="35" t="s">
        <v>120</v>
      </c>
      <c r="B413" s="1" t="s">
        <v>94</v>
      </c>
      <c r="C413" s="2" t="s">
        <v>293</v>
      </c>
      <c r="D413" s="15" t="s">
        <v>395</v>
      </c>
      <c r="E413" s="31">
        <f>0.75-0.216-0.21-(0.024)-0.216</f>
        <v>8.4000000000000047E-2</v>
      </c>
    </row>
    <row r="414" spans="1:5" ht="34">
      <c r="A414" s="35" t="s">
        <v>120</v>
      </c>
      <c r="B414" s="1" t="s">
        <v>94</v>
      </c>
      <c r="C414" s="2" t="s">
        <v>293</v>
      </c>
      <c r="D414" s="10" t="s">
        <v>396</v>
      </c>
      <c r="E414" s="26">
        <f>6.9-3.578+(0.058)-0.428-0.898</f>
        <v>2.0540000000000003</v>
      </c>
    </row>
    <row r="415" spans="1:5" ht="34">
      <c r="A415" s="35" t="s">
        <v>120</v>
      </c>
      <c r="B415" s="1" t="s">
        <v>99</v>
      </c>
      <c r="C415" s="2" t="s">
        <v>397</v>
      </c>
      <c r="D415" s="12" t="s">
        <v>149</v>
      </c>
      <c r="E415" s="27">
        <f>1.05-0.524-0.068-0.196-0.196</f>
        <v>6.6000000000000003E-2</v>
      </c>
    </row>
    <row r="416" spans="1:5" ht="34">
      <c r="A416" s="35" t="s">
        <v>120</v>
      </c>
      <c r="B416" s="1" t="s">
        <v>99</v>
      </c>
      <c r="C416" s="2" t="s">
        <v>397</v>
      </c>
      <c r="D416" s="12" t="s">
        <v>149</v>
      </c>
      <c r="E416" s="27">
        <f>0.975-0.32-0.576</f>
        <v>7.900000000000007E-2</v>
      </c>
    </row>
    <row r="417" spans="1:5" ht="34">
      <c r="A417" s="35" t="s">
        <v>120</v>
      </c>
      <c r="B417" s="1" t="s">
        <v>99</v>
      </c>
      <c r="C417" s="2" t="s">
        <v>397</v>
      </c>
      <c r="D417" s="12" t="s">
        <v>398</v>
      </c>
      <c r="E417" s="25">
        <f>0.955-0.16</f>
        <v>0.79499999999999993</v>
      </c>
    </row>
    <row r="418" spans="1:5" ht="34">
      <c r="A418" s="35" t="s">
        <v>120</v>
      </c>
      <c r="B418" s="3" t="s">
        <v>99</v>
      </c>
      <c r="C418" s="4" t="s">
        <v>397</v>
      </c>
      <c r="D418" s="17" t="s">
        <v>399</v>
      </c>
      <c r="E418" s="32">
        <f>2.24-0.16</f>
        <v>2.08</v>
      </c>
    </row>
    <row r="419" spans="1:5" ht="34">
      <c r="A419" s="35" t="s">
        <v>120</v>
      </c>
      <c r="B419" s="1" t="s">
        <v>400</v>
      </c>
      <c r="C419" s="2" t="s">
        <v>348</v>
      </c>
      <c r="D419" s="14" t="s">
        <v>401</v>
      </c>
      <c r="E419" s="23">
        <f>2.556-0.85-0.854-0.21-(0.012)</f>
        <v>0.63</v>
      </c>
    </row>
    <row r="420" spans="1:5" ht="34">
      <c r="A420" s="35" t="s">
        <v>120</v>
      </c>
      <c r="B420" s="1" t="s">
        <v>400</v>
      </c>
      <c r="C420" s="2" t="s">
        <v>348</v>
      </c>
      <c r="D420" s="14" t="s">
        <v>276</v>
      </c>
      <c r="E420" s="23">
        <f>5.112-0.85</f>
        <v>4.2620000000000005</v>
      </c>
    </row>
    <row r="421" spans="1:5" ht="34">
      <c r="A421" s="35" t="s">
        <v>120</v>
      </c>
      <c r="B421" s="1" t="s">
        <v>400</v>
      </c>
      <c r="C421" s="2" t="s">
        <v>348</v>
      </c>
      <c r="D421" s="14" t="s">
        <v>402</v>
      </c>
      <c r="E421" s="23">
        <f>1.028</f>
        <v>1.028</v>
      </c>
    </row>
    <row r="422" spans="1:5" ht="34">
      <c r="A422" s="35" t="s">
        <v>120</v>
      </c>
      <c r="B422" s="1" t="s">
        <v>400</v>
      </c>
      <c r="C422" s="2" t="s">
        <v>348</v>
      </c>
      <c r="D422" s="14" t="s">
        <v>157</v>
      </c>
      <c r="E422" s="23">
        <f>2.982-0.993-0.978</f>
        <v>1.0110000000000003</v>
      </c>
    </row>
    <row r="423" spans="1:5" ht="34">
      <c r="A423" s="35" t="s">
        <v>120</v>
      </c>
      <c r="B423" s="1" t="s">
        <v>400</v>
      </c>
      <c r="C423" s="2" t="s">
        <v>348</v>
      </c>
      <c r="D423" s="14" t="s">
        <v>403</v>
      </c>
      <c r="E423" s="23">
        <f>0.978-0.568</f>
        <v>0.41000000000000003</v>
      </c>
    </row>
    <row r="424" spans="1:5" ht="34">
      <c r="A424" s="35" t="s">
        <v>120</v>
      </c>
      <c r="B424" s="1" t="s">
        <v>400</v>
      </c>
      <c r="C424" s="2" t="s">
        <v>348</v>
      </c>
      <c r="D424" s="14" t="s">
        <v>157</v>
      </c>
      <c r="E424" s="23">
        <f>4.97</f>
        <v>4.97</v>
      </c>
    </row>
    <row r="425" spans="1:5" ht="34">
      <c r="A425" s="35" t="s">
        <v>120</v>
      </c>
      <c r="B425" s="1" t="s">
        <v>400</v>
      </c>
      <c r="C425" s="2" t="s">
        <v>293</v>
      </c>
      <c r="D425" s="14" t="s">
        <v>404</v>
      </c>
      <c r="E425" s="23">
        <f>1.134-0.282-0.05-(0.002)-0.05-0.273-(0.009)-0.078-(0.002)-0.156</f>
        <v>0.23199999999999973</v>
      </c>
    </row>
    <row r="426" spans="1:5" ht="34">
      <c r="A426" s="35" t="s">
        <v>120</v>
      </c>
      <c r="B426" s="10" t="s">
        <v>400</v>
      </c>
      <c r="C426" s="10" t="s">
        <v>293</v>
      </c>
      <c r="D426" s="9" t="s">
        <v>405</v>
      </c>
      <c r="E426" s="23">
        <f>1.126-0.094-0.526-0.19-0.048-(0.002)-0.048-0.096</f>
        <v>0.1219999999999998</v>
      </c>
    </row>
    <row r="427" spans="1:5" ht="34">
      <c r="A427" s="35" t="s">
        <v>120</v>
      </c>
      <c r="B427" s="1" t="s">
        <v>400</v>
      </c>
      <c r="C427" s="2" t="s">
        <v>293</v>
      </c>
      <c r="D427" s="14" t="s">
        <v>141</v>
      </c>
      <c r="E427" s="23">
        <f>3.411</f>
        <v>3.411</v>
      </c>
    </row>
    <row r="428" spans="1:5" ht="34">
      <c r="A428" s="35" t="s">
        <v>120</v>
      </c>
      <c r="B428" s="10" t="s">
        <v>400</v>
      </c>
      <c r="C428" s="10" t="s">
        <v>293</v>
      </c>
      <c r="D428" s="9" t="s">
        <v>406</v>
      </c>
      <c r="E428" s="23">
        <f>2.856-1.428-0.214-0.16-(0.016)-0.596-0.07-0.052-0.234-(0.002)-0.007-(0.011)</f>
        <v>6.6000000000000045E-2</v>
      </c>
    </row>
    <row r="429" spans="1:5" ht="34">
      <c r="A429" s="35" t="s">
        <v>120</v>
      </c>
      <c r="B429" s="1" t="s">
        <v>400</v>
      </c>
      <c r="C429" s="2" t="s">
        <v>293</v>
      </c>
      <c r="D429" s="14" t="s">
        <v>407</v>
      </c>
      <c r="E429" s="23">
        <f>14.28-4.212-1.396-1.396-1.404-1.408-2.806-(0.25)-0.238-0.122-0.163</f>
        <v>0.88500000000000045</v>
      </c>
    </row>
    <row r="430" spans="1:5" ht="34">
      <c r="A430" s="35" t="s">
        <v>120</v>
      </c>
      <c r="B430" s="1" t="s">
        <v>400</v>
      </c>
      <c r="C430" s="2" t="s">
        <v>293</v>
      </c>
      <c r="D430" s="14" t="s">
        <v>408</v>
      </c>
      <c r="E430" s="23">
        <f>1.396-0.266-0.888-(0.002)-0.07-0.094-(0.002)</f>
        <v>7.3999999999999871E-2</v>
      </c>
    </row>
    <row r="431" spans="1:5" ht="34">
      <c r="A431" s="35" t="s">
        <v>120</v>
      </c>
      <c r="B431" s="1" t="s">
        <v>400</v>
      </c>
      <c r="C431" s="2" t="s">
        <v>348</v>
      </c>
      <c r="D431" s="14" t="s">
        <v>409</v>
      </c>
      <c r="E431" s="22">
        <f>1.785-0.456-0.031-0.296-0.298-0.002-0.294-0.044-0.002-0.132-0.046-0.034-0.046</f>
        <v>0.104</v>
      </c>
    </row>
    <row r="432" spans="1:5" ht="34">
      <c r="A432" s="35" t="s">
        <v>120</v>
      </c>
      <c r="B432" s="1" t="s">
        <v>400</v>
      </c>
      <c r="C432" s="2" t="s">
        <v>293</v>
      </c>
      <c r="D432" s="14" t="s">
        <v>145</v>
      </c>
      <c r="E432" s="23">
        <f>7.14-3.6-1.77</f>
        <v>1.7699999999999996</v>
      </c>
    </row>
    <row r="433" spans="1:5" ht="34">
      <c r="A433" s="35" t="s">
        <v>120</v>
      </c>
      <c r="B433" s="1" t="s">
        <v>400</v>
      </c>
      <c r="C433" s="2" t="s">
        <v>293</v>
      </c>
      <c r="D433" s="14" t="s">
        <v>410</v>
      </c>
      <c r="E433" s="23">
        <f>2.142-0.322-0.24-(0.036)-0.108-0.08-(0.002)-1.058-(0.004)-0.044-0.024-0.044-0.054-(0.016)</f>
        <v>0.10999999999999961</v>
      </c>
    </row>
    <row r="434" spans="1:5" ht="34">
      <c r="A434" s="35" t="s">
        <v>120</v>
      </c>
      <c r="B434" s="1" t="s">
        <v>400</v>
      </c>
      <c r="C434" s="2" t="s">
        <v>293</v>
      </c>
      <c r="D434" s="14" t="s">
        <v>411</v>
      </c>
      <c r="E434" s="23">
        <f>0.054</f>
        <v>5.3999999999999999E-2</v>
      </c>
    </row>
    <row r="435" spans="1:5" ht="34">
      <c r="A435" s="35" t="s">
        <v>120</v>
      </c>
      <c r="B435" s="1" t="s">
        <v>400</v>
      </c>
      <c r="C435" s="2" t="s">
        <v>293</v>
      </c>
      <c r="D435" s="14" t="s">
        <v>412</v>
      </c>
      <c r="E435" s="23">
        <f>2.142-0.698-1.071-0.24</f>
        <v>0.13300000000000001</v>
      </c>
    </row>
    <row r="436" spans="1:5" ht="34">
      <c r="A436" s="35" t="s">
        <v>120</v>
      </c>
      <c r="B436" s="1" t="s">
        <v>400</v>
      </c>
      <c r="C436" s="2" t="s">
        <v>293</v>
      </c>
      <c r="D436" s="14" t="s">
        <v>370</v>
      </c>
      <c r="E436" s="23">
        <f>2.11-1.05-0.396-(0.004)-0.144-0.288-(0.004)</f>
        <v>0.22399999999999981</v>
      </c>
    </row>
    <row r="437" spans="1:5" ht="34">
      <c r="A437" s="35" t="s">
        <v>120</v>
      </c>
      <c r="B437" s="1" t="s">
        <v>400</v>
      </c>
      <c r="C437" s="2" t="s">
        <v>293</v>
      </c>
      <c r="D437" s="14" t="s">
        <v>413</v>
      </c>
      <c r="E437" s="23">
        <f>2.57-0.065-0.208+(0.003)-2</f>
        <v>0.29999999999999982</v>
      </c>
    </row>
    <row r="438" spans="1:5" ht="34">
      <c r="A438" s="35" t="s">
        <v>120</v>
      </c>
      <c r="B438" s="1" t="s">
        <v>400</v>
      </c>
      <c r="C438" s="2" t="s">
        <v>293</v>
      </c>
      <c r="D438" s="14" t="s">
        <v>414</v>
      </c>
      <c r="E438" s="23">
        <f>2.63-0.67-0.18-0.18-(0.002)-0.362+(0.034)</f>
        <v>1.2700000000000002</v>
      </c>
    </row>
    <row r="439" spans="1:5" ht="34">
      <c r="A439" s="35" t="s">
        <v>120</v>
      </c>
      <c r="B439" s="1" t="s">
        <v>400</v>
      </c>
      <c r="C439" s="2" t="s">
        <v>293</v>
      </c>
      <c r="D439" s="14" t="s">
        <v>415</v>
      </c>
      <c r="E439" s="23">
        <f>2.738-0.86</f>
        <v>1.8780000000000001</v>
      </c>
    </row>
    <row r="440" spans="1:5" ht="34">
      <c r="A440" s="35" t="s">
        <v>120</v>
      </c>
      <c r="B440" s="1" t="s">
        <v>400</v>
      </c>
      <c r="C440" s="2" t="s">
        <v>293</v>
      </c>
      <c r="D440" s="14" t="s">
        <v>416</v>
      </c>
      <c r="E440" s="23">
        <f>2.886-1.908-0.252-(0.01)-0.53-(0.004)</f>
        <v>0.18200000000000016</v>
      </c>
    </row>
    <row r="441" spans="1:5" ht="34">
      <c r="A441" s="35" t="s">
        <v>120</v>
      </c>
      <c r="B441" s="1" t="s">
        <v>400</v>
      </c>
      <c r="C441" s="2" t="s">
        <v>293</v>
      </c>
      <c r="D441" s="14" t="s">
        <v>417</v>
      </c>
      <c r="E441" s="23">
        <f>2.994-0.248-0.198-1.496-(0.018)-0.404-(0.01)-0.052-0.038-(0.002)-0.198-0.218-(0.02)</f>
        <v>9.2000000000000345E-2</v>
      </c>
    </row>
    <row r="442" spans="1:5" ht="34">
      <c r="A442" s="35" t="s">
        <v>120</v>
      </c>
      <c r="B442" s="1" t="s">
        <v>400</v>
      </c>
      <c r="C442" s="2" t="s">
        <v>293</v>
      </c>
      <c r="D442" s="14" t="s">
        <v>418</v>
      </c>
      <c r="E442" s="23">
        <f>0.218</f>
        <v>0.218</v>
      </c>
    </row>
    <row r="443" spans="1:5" ht="34">
      <c r="A443" s="35" t="s">
        <v>120</v>
      </c>
      <c r="B443" s="1" t="s">
        <v>400</v>
      </c>
      <c r="C443" s="2" t="s">
        <v>293</v>
      </c>
      <c r="D443" s="14" t="s">
        <v>419</v>
      </c>
      <c r="E443" s="23">
        <f>0.038</f>
        <v>3.7999999999999999E-2</v>
      </c>
    </row>
    <row r="444" spans="1:5" ht="34">
      <c r="A444" s="35" t="s">
        <v>120</v>
      </c>
      <c r="B444" s="1" t="s">
        <v>400</v>
      </c>
      <c r="C444" s="2" t="s">
        <v>293</v>
      </c>
      <c r="D444" s="14" t="s">
        <v>420</v>
      </c>
      <c r="E444" s="23">
        <f>2.855-1.45-0.322</f>
        <v>1.083</v>
      </c>
    </row>
    <row r="445" spans="1:5" ht="34">
      <c r="A445" s="35" t="s">
        <v>120</v>
      </c>
      <c r="B445" s="1" t="s">
        <v>400</v>
      </c>
      <c r="C445" s="2" t="s">
        <v>293</v>
      </c>
      <c r="D445" s="14" t="s">
        <v>421</v>
      </c>
      <c r="E445" s="23">
        <f>3.212-2.116-(0.02)-0.374-(0.004)-0.204-(0.014)</f>
        <v>0.48000000000000009</v>
      </c>
    </row>
    <row r="446" spans="1:5" ht="34">
      <c r="A446" s="35" t="s">
        <v>120</v>
      </c>
      <c r="B446" s="1" t="s">
        <v>400</v>
      </c>
      <c r="C446" s="2" t="s">
        <v>293</v>
      </c>
      <c r="D446" s="14" t="s">
        <v>422</v>
      </c>
      <c r="E446" s="23">
        <f>3.26-1.09+(0.018)-0.818</f>
        <v>1.3699999999999997</v>
      </c>
    </row>
    <row r="447" spans="1:5" ht="34">
      <c r="A447" s="35" t="s">
        <v>120</v>
      </c>
      <c r="B447" s="1" t="s">
        <v>400</v>
      </c>
      <c r="C447" s="2" t="s">
        <v>293</v>
      </c>
      <c r="D447" s="14" t="s">
        <v>423</v>
      </c>
      <c r="E447" s="23">
        <f>11.11-3.64-3.682-2.594-(0.152)-0.604-(0.004)-0.062-0.06-(0.012)</f>
        <v>0.29999999999999916</v>
      </c>
    </row>
    <row r="448" spans="1:5" ht="34">
      <c r="A448" s="35" t="s">
        <v>120</v>
      </c>
      <c r="B448" s="1" t="s">
        <v>400</v>
      </c>
      <c r="C448" s="2" t="s">
        <v>293</v>
      </c>
      <c r="D448" s="14" t="s">
        <v>424</v>
      </c>
      <c r="E448" s="23">
        <f>0.06-0.032</f>
        <v>2.7999999999999997E-2</v>
      </c>
    </row>
    <row r="449" spans="1:5" ht="34">
      <c r="A449" s="35" t="s">
        <v>120</v>
      </c>
      <c r="B449" s="1" t="s">
        <v>400</v>
      </c>
      <c r="C449" s="2" t="s">
        <v>293</v>
      </c>
      <c r="D449" s="14" t="s">
        <v>425</v>
      </c>
      <c r="E449" s="23">
        <f>3.68-1.212-1.516-(0.024)-0.288-(0.012)-0.09-0.204-0.055-0.03-(0.007)</f>
        <v>0.24199999999999997</v>
      </c>
    </row>
    <row r="450" spans="1:5" ht="34">
      <c r="A450" s="35" t="s">
        <v>120</v>
      </c>
      <c r="B450" s="1" t="s">
        <v>400</v>
      </c>
      <c r="C450" s="2" t="s">
        <v>293</v>
      </c>
      <c r="D450" s="14" t="s">
        <v>426</v>
      </c>
      <c r="E450" s="23">
        <f>0.06-0.032-(0.004)</f>
        <v>2.3999999999999997E-2</v>
      </c>
    </row>
    <row r="451" spans="1:5" ht="34">
      <c r="A451" s="35" t="s">
        <v>120</v>
      </c>
      <c r="B451" s="1" t="s">
        <v>400</v>
      </c>
      <c r="C451" s="2" t="s">
        <v>293</v>
      </c>
      <c r="D451" s="14" t="s">
        <v>427</v>
      </c>
      <c r="E451" s="23">
        <f>0.028</f>
        <v>2.8000000000000001E-2</v>
      </c>
    </row>
    <row r="452" spans="1:5" ht="34">
      <c r="A452" s="35" t="s">
        <v>120</v>
      </c>
      <c r="B452" s="1" t="s">
        <v>400</v>
      </c>
      <c r="C452" s="2" t="s">
        <v>293</v>
      </c>
      <c r="D452" s="14" t="s">
        <v>428</v>
      </c>
      <c r="E452" s="23">
        <f>3.75-0.612-0.938-0.204-0.046-(0.144)-0.312-(0.004)-0.244-(0.014)-0.49-0.403</f>
        <v>0.33900000000000019</v>
      </c>
    </row>
    <row r="453" spans="1:5" ht="34">
      <c r="A453" s="35" t="s">
        <v>120</v>
      </c>
      <c r="B453" s="1" t="s">
        <v>400</v>
      </c>
      <c r="C453" s="2" t="s">
        <v>293</v>
      </c>
      <c r="D453" s="14" t="s">
        <v>429</v>
      </c>
      <c r="E453" s="23">
        <f>0.046</f>
        <v>4.5999999999999999E-2</v>
      </c>
    </row>
    <row r="454" spans="1:5" ht="34">
      <c r="A454" s="35" t="s">
        <v>120</v>
      </c>
      <c r="B454" s="1" t="s">
        <v>400</v>
      </c>
      <c r="C454" s="2" t="s">
        <v>293</v>
      </c>
      <c r="D454" s="14" t="s">
        <v>430</v>
      </c>
      <c r="E454" s="23">
        <f>8.89-4.498-1.716-1.488+(0.104)-0.02-0.136-0.39</f>
        <v>0.74600000000000011</v>
      </c>
    </row>
    <row r="455" spans="1:5" ht="34">
      <c r="A455" s="35" t="s">
        <v>120</v>
      </c>
      <c r="B455" s="1" t="s">
        <v>400</v>
      </c>
      <c r="C455" s="2" t="s">
        <v>293</v>
      </c>
      <c r="D455" s="14" t="s">
        <v>431</v>
      </c>
      <c r="E455" s="23">
        <f>0.136</f>
        <v>0.13600000000000001</v>
      </c>
    </row>
    <row r="456" spans="1:5" ht="34">
      <c r="A456" s="35" t="s">
        <v>120</v>
      </c>
      <c r="B456" s="1" t="s">
        <v>400</v>
      </c>
      <c r="C456" s="2" t="s">
        <v>293</v>
      </c>
      <c r="D456" s="14" t="s">
        <v>432</v>
      </c>
      <c r="E456" s="23">
        <f>4.516-1.506-1.169-(0.029)</f>
        <v>1.8119999999999998</v>
      </c>
    </row>
    <row r="457" spans="1:5" ht="34">
      <c r="A457" s="35" t="s">
        <v>120</v>
      </c>
      <c r="B457" s="1" t="s">
        <v>400</v>
      </c>
      <c r="C457" s="2" t="s">
        <v>293</v>
      </c>
      <c r="D457" s="12" t="s">
        <v>234</v>
      </c>
      <c r="E457" s="28">
        <f>5.83-2.916</f>
        <v>2.9140000000000001</v>
      </c>
    </row>
    <row r="458" spans="1:5" ht="34">
      <c r="A458" s="35" t="s">
        <v>120</v>
      </c>
      <c r="B458" s="1" t="s">
        <v>400</v>
      </c>
      <c r="C458" s="2" t="s">
        <v>293</v>
      </c>
      <c r="D458" s="12" t="s">
        <v>433</v>
      </c>
      <c r="E458" s="28">
        <f>2.916-0.856-0.358-(0.002)-1.062-0.03-(0.032)-0.008-(0.012)</f>
        <v>0.55599999999999983</v>
      </c>
    </row>
    <row r="459" spans="1:5" ht="34">
      <c r="A459" s="35" t="s">
        <v>120</v>
      </c>
      <c r="B459" s="1" t="s">
        <v>400</v>
      </c>
      <c r="C459" s="2" t="s">
        <v>293</v>
      </c>
      <c r="D459" s="12" t="s">
        <v>387</v>
      </c>
      <c r="E459" s="28">
        <f>2.976-1.532-0.174-0.022-0.08-(0.012)-0.294-(0.002)-0.406-(0.006)</f>
        <v>0.44799999999999984</v>
      </c>
    </row>
    <row r="460" spans="1:5" ht="34">
      <c r="A460" s="35" t="s">
        <v>120</v>
      </c>
      <c r="B460" s="1" t="s">
        <v>400</v>
      </c>
      <c r="C460" s="2" t="s">
        <v>293</v>
      </c>
      <c r="D460" s="12" t="s">
        <v>434</v>
      </c>
      <c r="E460" s="28">
        <f>0.022</f>
        <v>2.1999999999999999E-2</v>
      </c>
    </row>
    <row r="461" spans="1:5" ht="34">
      <c r="A461" s="35" t="s">
        <v>120</v>
      </c>
      <c r="B461" s="1" t="s">
        <v>400</v>
      </c>
      <c r="C461" s="2" t="s">
        <v>293</v>
      </c>
      <c r="D461" s="12" t="s">
        <v>435</v>
      </c>
      <c r="E461" s="28">
        <f>0.08</f>
        <v>0.08</v>
      </c>
    </row>
    <row r="462" spans="1:5" ht="34">
      <c r="A462" s="35" t="s">
        <v>120</v>
      </c>
      <c r="B462" s="1" t="s">
        <v>400</v>
      </c>
      <c r="C462" s="2" t="s">
        <v>293</v>
      </c>
      <c r="D462" s="12" t="s">
        <v>436</v>
      </c>
      <c r="E462" s="28">
        <f>2.892-1.214-0.444-0.11-(0.034)-0.6-(0.002)</f>
        <v>0.48799999999999988</v>
      </c>
    </row>
    <row r="463" spans="1:5" ht="34">
      <c r="A463" s="35" t="s">
        <v>120</v>
      </c>
      <c r="B463" s="1" t="s">
        <v>400</v>
      </c>
      <c r="C463" s="2" t="s">
        <v>293</v>
      </c>
      <c r="D463" s="12" t="s">
        <v>437</v>
      </c>
      <c r="E463" s="28">
        <f>5.42</f>
        <v>5.42</v>
      </c>
    </row>
    <row r="464" spans="1:5" ht="34">
      <c r="A464" s="35" t="s">
        <v>120</v>
      </c>
      <c r="B464" s="1" t="s">
        <v>400</v>
      </c>
      <c r="C464" s="2" t="s">
        <v>293</v>
      </c>
      <c r="D464" s="12" t="s">
        <v>438</v>
      </c>
      <c r="E464" s="28">
        <f>5.865-1.966+(0.053)-0.2-1.476-1.98</f>
        <v>0.29599999999999982</v>
      </c>
    </row>
    <row r="465" spans="1:5" ht="34">
      <c r="A465" s="35" t="s">
        <v>120</v>
      </c>
      <c r="B465" s="1" t="s">
        <v>400</v>
      </c>
      <c r="C465" s="2" t="s">
        <v>293</v>
      </c>
      <c r="D465" s="12" t="s">
        <v>439</v>
      </c>
      <c r="E465" s="28">
        <f>2.89-1.152-0.544+0.062-0.592</f>
        <v>0.66400000000000026</v>
      </c>
    </row>
    <row r="466" spans="1:5" ht="34">
      <c r="A466" s="35" t="s">
        <v>120</v>
      </c>
      <c r="B466" s="1" t="s">
        <v>400</v>
      </c>
      <c r="C466" s="2" t="s">
        <v>440</v>
      </c>
      <c r="D466" s="1" t="s">
        <v>441</v>
      </c>
      <c r="E466" s="25">
        <f>0.29</f>
        <v>0.28999999999999998</v>
      </c>
    </row>
    <row r="467" spans="1:5" ht="34">
      <c r="A467" s="35" t="s">
        <v>120</v>
      </c>
      <c r="B467" s="1" t="s">
        <v>400</v>
      </c>
      <c r="C467" s="2" t="s">
        <v>440</v>
      </c>
      <c r="D467" s="1" t="s">
        <v>442</v>
      </c>
      <c r="E467" s="25">
        <f>4.71-3.348</f>
        <v>1.3620000000000001</v>
      </c>
    </row>
    <row r="468" spans="1:5" ht="34">
      <c r="A468" s="35" t="s">
        <v>120</v>
      </c>
      <c r="B468" s="1" t="s">
        <v>400</v>
      </c>
      <c r="C468" s="2" t="s">
        <v>440</v>
      </c>
      <c r="D468" s="1" t="s">
        <v>390</v>
      </c>
      <c r="E468" s="25">
        <f>4.74</f>
        <v>4.74</v>
      </c>
    </row>
    <row r="469" spans="1:5" ht="34">
      <c r="A469" s="35" t="s">
        <v>120</v>
      </c>
      <c r="B469" s="1" t="s">
        <v>400</v>
      </c>
      <c r="C469" s="2" t="s">
        <v>440</v>
      </c>
      <c r="D469" s="1" t="s">
        <v>443</v>
      </c>
      <c r="E469" s="25">
        <f>4.62</f>
        <v>4.62</v>
      </c>
    </row>
    <row r="470" spans="1:5" ht="34">
      <c r="A470" s="35" t="s">
        <v>120</v>
      </c>
      <c r="B470" s="1" t="s">
        <v>400</v>
      </c>
      <c r="C470" s="2" t="s">
        <v>293</v>
      </c>
      <c r="D470" s="12" t="s">
        <v>444</v>
      </c>
      <c r="E470" s="28">
        <f>7.331-3.06-2.456+(0.151)</f>
        <v>1.9660000000000009</v>
      </c>
    </row>
    <row r="471" spans="1:5" ht="45">
      <c r="A471" s="35" t="s">
        <v>120</v>
      </c>
      <c r="B471" s="1" t="s">
        <v>400</v>
      </c>
      <c r="C471" s="2" t="s">
        <v>445</v>
      </c>
      <c r="D471" s="12" t="s">
        <v>446</v>
      </c>
      <c r="E471" s="28">
        <f>19.56-4.902-4.888-4.858-3.446-(0.008)</f>
        <v>1.457999999999998</v>
      </c>
    </row>
    <row r="472" spans="1:5" ht="45">
      <c r="A472" s="35" t="s">
        <v>120</v>
      </c>
      <c r="B472" s="1" t="s">
        <v>400</v>
      </c>
      <c r="C472" s="2" t="s">
        <v>445</v>
      </c>
      <c r="D472" s="12" t="s">
        <v>447</v>
      </c>
      <c r="E472" s="28">
        <f>4.888-0.6-1.384-2.512-(0.002)</f>
        <v>0.39000000000000035</v>
      </c>
    </row>
    <row r="473" spans="1:5" ht="45">
      <c r="A473" s="35" t="s">
        <v>120</v>
      </c>
      <c r="B473" s="1" t="s">
        <v>400</v>
      </c>
      <c r="C473" s="2" t="s">
        <v>445</v>
      </c>
      <c r="D473" s="12" t="s">
        <v>448</v>
      </c>
      <c r="E473" s="28">
        <f>4.858-1.016-0.624-(0.012)-1.874-(0.01)</f>
        <v>1.3219999999999994</v>
      </c>
    </row>
    <row r="474" spans="1:5" ht="45">
      <c r="A474" s="35" t="s">
        <v>120</v>
      </c>
      <c r="B474" s="1" t="s">
        <v>400</v>
      </c>
      <c r="C474" s="2" t="s">
        <v>445</v>
      </c>
      <c r="D474" s="12" t="s">
        <v>449</v>
      </c>
      <c r="E474" s="28">
        <f>9.45</f>
        <v>9.4499999999999993</v>
      </c>
    </row>
    <row r="475" spans="1:5" ht="45">
      <c r="A475" s="35" t="s">
        <v>120</v>
      </c>
      <c r="B475" s="1" t="s">
        <v>400</v>
      </c>
      <c r="C475" s="2" t="s">
        <v>445</v>
      </c>
      <c r="D475" s="12" t="s">
        <v>450</v>
      </c>
      <c r="E475" s="28">
        <v>4.5999999999999996</v>
      </c>
    </row>
    <row r="476" spans="1:5" ht="34">
      <c r="A476" s="35" t="s">
        <v>120</v>
      </c>
      <c r="B476" s="14" t="s">
        <v>451</v>
      </c>
      <c r="C476" s="10" t="s">
        <v>452</v>
      </c>
      <c r="D476" s="14" t="s">
        <v>453</v>
      </c>
      <c r="E476" s="22">
        <f>2.844-1.87-0.232-0.042-0.234-(0.002)-0.164-0.078-0.056-(0.004)-0.094</f>
        <v>6.79999999999997E-2</v>
      </c>
    </row>
    <row r="477" spans="1:5" ht="34">
      <c r="A477" s="35" t="s">
        <v>120</v>
      </c>
      <c r="B477" s="14" t="s">
        <v>451</v>
      </c>
      <c r="C477" s="10" t="s">
        <v>452</v>
      </c>
      <c r="D477" s="14" t="s">
        <v>454</v>
      </c>
      <c r="E477" s="22">
        <f>0.056</f>
        <v>5.6000000000000001E-2</v>
      </c>
    </row>
    <row r="478" spans="1:5" ht="34">
      <c r="A478" s="35" t="s">
        <v>120</v>
      </c>
      <c r="B478" s="14" t="s">
        <v>451</v>
      </c>
      <c r="C478" s="10" t="s">
        <v>455</v>
      </c>
      <c r="D478" s="14" t="s">
        <v>456</v>
      </c>
      <c r="E478" s="22">
        <f>3.805-0.308-(0.103)</f>
        <v>3.3940000000000001</v>
      </c>
    </row>
    <row r="479" spans="1:5" ht="34">
      <c r="A479" s="35" t="s">
        <v>120</v>
      </c>
      <c r="B479" s="14" t="s">
        <v>451</v>
      </c>
      <c r="C479" s="10" t="s">
        <v>455</v>
      </c>
      <c r="D479" s="14" t="s">
        <v>457</v>
      </c>
      <c r="E479" s="22">
        <f>19.025</f>
        <v>19.024999999999999</v>
      </c>
    </row>
    <row r="480" spans="1:5" ht="34">
      <c r="A480" s="35" t="s">
        <v>458</v>
      </c>
      <c r="B480" s="1" t="s">
        <v>459</v>
      </c>
      <c r="C480" s="1" t="s">
        <v>460</v>
      </c>
      <c r="D480" s="1" t="s">
        <v>461</v>
      </c>
      <c r="E480" s="25">
        <f>0.124-0.03</f>
        <v>9.4E-2</v>
      </c>
    </row>
    <row r="481" spans="1:5" ht="34">
      <c r="A481" s="35" t="s">
        <v>458</v>
      </c>
      <c r="B481" s="1" t="s">
        <v>459</v>
      </c>
      <c r="C481" s="1" t="s">
        <v>460</v>
      </c>
      <c r="D481" s="1" t="s">
        <v>92</v>
      </c>
      <c r="E481" s="25">
        <f>3.93-0.203-0.032-0.508-0.316-0.032-0.032-0.16-0.129-0.094-0.127-0.032-0.062-0.034-0.032-0.284-0.064-0.032-0.032-0.064-0.188-0.128-0.064-0.032-0.032-0.032-0.032-0.064-0.032-0.032-0.19-0.032-0.094-0.03-0.158-0.032-0.19-0.032-0.031-0.032</f>
        <v>0.20400000000000035</v>
      </c>
    </row>
    <row r="482" spans="1:5" ht="34">
      <c r="A482" s="35" t="s">
        <v>458</v>
      </c>
      <c r="B482" s="1" t="s">
        <v>459</v>
      </c>
      <c r="C482" s="1" t="s">
        <v>460</v>
      </c>
      <c r="D482" s="1" t="s">
        <v>93</v>
      </c>
      <c r="E482" s="25">
        <f>4.64-0.476-0.292-0.048-0.5-0.05-0.048-0.388-0.05-0.732-0.098-0.049-0.146-0.048-0.05-0.049-0.048-0.048-0.048-0.144-0.049</f>
        <v>1.2790000000000001</v>
      </c>
    </row>
    <row r="483" spans="1:5" ht="34">
      <c r="A483" s="35" t="s">
        <v>458</v>
      </c>
      <c r="B483" s="1" t="s">
        <v>459</v>
      </c>
      <c r="C483" s="1" t="s">
        <v>462</v>
      </c>
      <c r="D483" s="1" t="s">
        <v>463</v>
      </c>
      <c r="E483" s="25">
        <f>0.564-0.188-0.14-0.198-(0.002)</f>
        <v>3.5999999999999921E-2</v>
      </c>
    </row>
    <row r="484" spans="1:5" ht="34">
      <c r="A484" s="35" t="s">
        <v>458</v>
      </c>
      <c r="B484" s="1" t="s">
        <v>459</v>
      </c>
      <c r="C484" s="15" t="s">
        <v>462</v>
      </c>
      <c r="D484" s="1" t="s">
        <v>464</v>
      </c>
      <c r="E484" s="27">
        <f>0.814-0.408-0.084-0.1</f>
        <v>0.22199999999999995</v>
      </c>
    </row>
    <row r="485" spans="1:5" ht="34">
      <c r="A485" s="35" t="s">
        <v>458</v>
      </c>
      <c r="B485" s="1" t="s">
        <v>459</v>
      </c>
      <c r="C485" s="15" t="s">
        <v>462</v>
      </c>
      <c r="D485" s="15" t="s">
        <v>465</v>
      </c>
      <c r="E485" s="28">
        <f>1.93-0.988-0.332+(0.05)-0.07-0.102-0.072-0.072-0.07</f>
        <v>0.27399999999999985</v>
      </c>
    </row>
    <row r="486" spans="1:5" ht="34">
      <c r="A486" s="35" t="s">
        <v>458</v>
      </c>
      <c r="B486" s="1" t="s">
        <v>459</v>
      </c>
      <c r="C486" s="15" t="s">
        <v>462</v>
      </c>
      <c r="D486" s="15" t="s">
        <v>466</v>
      </c>
      <c r="E486" s="25">
        <f>1.82</f>
        <v>1.82</v>
      </c>
    </row>
    <row r="487" spans="1:5" ht="34">
      <c r="A487" s="35" t="s">
        <v>458</v>
      </c>
      <c r="B487" s="1" t="s">
        <v>459</v>
      </c>
      <c r="C487" s="15" t="s">
        <v>467</v>
      </c>
      <c r="D487" s="12" t="s">
        <v>468</v>
      </c>
      <c r="E487" s="28">
        <f>2.23-1.116-0.372-0.112-0.19-0.38</f>
        <v>5.9999999999999887E-2</v>
      </c>
    </row>
    <row r="488" spans="1:5" ht="34">
      <c r="A488" s="35" t="s">
        <v>458</v>
      </c>
      <c r="B488" s="1" t="s">
        <v>459</v>
      </c>
      <c r="C488" s="15" t="s">
        <v>467</v>
      </c>
      <c r="D488" s="12" t="s">
        <v>469</v>
      </c>
      <c r="E488" s="28">
        <f>1.116-0.372-0.56+(0.002)</f>
        <v>0.18600000000000005</v>
      </c>
    </row>
    <row r="489" spans="1:5" ht="34">
      <c r="A489" s="35" t="s">
        <v>458</v>
      </c>
      <c r="B489" s="1" t="s">
        <v>459</v>
      </c>
      <c r="C489" s="15" t="s">
        <v>467</v>
      </c>
      <c r="D489" s="12" t="s">
        <v>470</v>
      </c>
      <c r="E489" s="28">
        <f>7.06-1.416-1.41-1.416-1.418-0.704-0.078-0.06-0.098-0.236-0.116-0.026-(0.002)</f>
        <v>8.0000000000000307E-2</v>
      </c>
    </row>
    <row r="490" spans="1:5" ht="34">
      <c r="A490" s="35" t="s">
        <v>458</v>
      </c>
      <c r="B490" s="1" t="s">
        <v>459</v>
      </c>
      <c r="C490" s="15" t="s">
        <v>467</v>
      </c>
      <c r="D490" s="12" t="s">
        <v>142</v>
      </c>
      <c r="E490" s="28">
        <f>2.83</f>
        <v>2.83</v>
      </c>
    </row>
    <row r="491" spans="1:5" ht="34">
      <c r="A491" s="35" t="s">
        <v>458</v>
      </c>
      <c r="B491" s="1" t="s">
        <v>459</v>
      </c>
      <c r="C491" s="15" t="s">
        <v>467</v>
      </c>
      <c r="D491" s="12" t="s">
        <v>471</v>
      </c>
      <c r="E491" s="28">
        <f>1.43-0.123</f>
        <v>1.3069999999999999</v>
      </c>
    </row>
    <row r="492" spans="1:5" ht="34">
      <c r="A492" s="35" t="s">
        <v>458</v>
      </c>
      <c r="B492" s="1" t="s">
        <v>459</v>
      </c>
      <c r="C492" s="15" t="s">
        <v>467</v>
      </c>
      <c r="D492" s="12" t="s">
        <v>198</v>
      </c>
      <c r="E492" s="28">
        <f>4.85-1.628</f>
        <v>3.2219999999999995</v>
      </c>
    </row>
    <row r="493" spans="1:5" ht="34">
      <c r="A493" s="35" t="s">
        <v>458</v>
      </c>
      <c r="B493" s="1" t="s">
        <v>459</v>
      </c>
      <c r="C493" s="15" t="s">
        <v>467</v>
      </c>
      <c r="D493" s="12" t="s">
        <v>472</v>
      </c>
      <c r="E493" s="28">
        <f>1.628-0.678</f>
        <v>0.94999999999999984</v>
      </c>
    </row>
    <row r="494" spans="1:5" ht="34">
      <c r="A494" s="35" t="s">
        <v>458</v>
      </c>
      <c r="B494" s="1" t="s">
        <v>459</v>
      </c>
      <c r="C494" s="15" t="s">
        <v>462</v>
      </c>
      <c r="D494" s="15" t="s">
        <v>473</v>
      </c>
      <c r="E494" s="28">
        <f>1.69-0.904-(0.004)-0.182-(0.004)-0.078-0.094-0.178-0.018-(0.002)-0.076-0.072-(0.004)</f>
        <v>7.3999999999999969E-2</v>
      </c>
    </row>
    <row r="495" spans="1:5" ht="34">
      <c r="A495" s="35" t="s">
        <v>458</v>
      </c>
      <c r="B495" s="1" t="s">
        <v>459</v>
      </c>
      <c r="C495" s="15" t="s">
        <v>462</v>
      </c>
      <c r="D495" s="15" t="s">
        <v>474</v>
      </c>
      <c r="E495" s="28">
        <f>5.36-1.774-1.784-0.608+(0.004)-0.916-0.124-(0.002)</f>
        <v>0.15600000000000036</v>
      </c>
    </row>
    <row r="496" spans="1:5" ht="34">
      <c r="A496" s="35" t="s">
        <v>458</v>
      </c>
      <c r="B496" s="1" t="s">
        <v>459</v>
      </c>
      <c r="C496" s="15" t="s">
        <v>467</v>
      </c>
      <c r="D496" s="15" t="s">
        <v>475</v>
      </c>
      <c r="E496" s="25">
        <f>5.12-1.729</f>
        <v>3.391</v>
      </c>
    </row>
    <row r="497" spans="1:5" ht="34">
      <c r="A497" s="35" t="s">
        <v>458</v>
      </c>
      <c r="B497" s="1" t="s">
        <v>459</v>
      </c>
      <c r="C497" s="15" t="s">
        <v>467</v>
      </c>
      <c r="D497" s="1" t="s">
        <v>476</v>
      </c>
      <c r="E497" s="25">
        <f>1.51-0.562-0.114-0.484-0.112-0.018-(0.002)</f>
        <v>0.218</v>
      </c>
    </row>
    <row r="498" spans="1:5" ht="34">
      <c r="A498" s="35" t="s">
        <v>458</v>
      </c>
      <c r="B498" s="1" t="s">
        <v>459</v>
      </c>
      <c r="C498" s="15" t="s">
        <v>467</v>
      </c>
      <c r="D498" s="1" t="s">
        <v>477</v>
      </c>
      <c r="E498" s="24">
        <f>1.726-1.106-0.102-0.024-0.118-(0.022)</f>
        <v>0.35399999999999987</v>
      </c>
    </row>
    <row r="499" spans="1:5" ht="34">
      <c r="A499" s="35" t="s">
        <v>458</v>
      </c>
      <c r="B499" s="1" t="s">
        <v>459</v>
      </c>
      <c r="C499" s="1" t="s">
        <v>467</v>
      </c>
      <c r="D499" s="15" t="s">
        <v>478</v>
      </c>
      <c r="E499" s="28">
        <f>5.61-1.826-1.862-0.192-(0.096)-0.21-0.1-(0.002)-0.236-(0.002)-0.106-(0.002)-0.65</f>
        <v>0.32600000000000007</v>
      </c>
    </row>
    <row r="500" spans="1:5" ht="34">
      <c r="A500" s="35" t="s">
        <v>458</v>
      </c>
      <c r="B500" s="1" t="s">
        <v>459</v>
      </c>
      <c r="C500" s="1" t="s">
        <v>467</v>
      </c>
      <c r="D500" s="15" t="s">
        <v>479</v>
      </c>
      <c r="E500" s="28">
        <f>10.98-1.854-1.32-1.5</f>
        <v>6.3060000000000009</v>
      </c>
    </row>
    <row r="501" spans="1:5" ht="34">
      <c r="A501" s="35" t="s">
        <v>458</v>
      </c>
      <c r="B501" s="1" t="s">
        <v>459</v>
      </c>
      <c r="C501" s="1" t="s">
        <v>467</v>
      </c>
      <c r="D501" s="15" t="s">
        <v>480</v>
      </c>
      <c r="E501" s="28">
        <f>1.32-0.19-0.5-0.239</f>
        <v>0.39100000000000013</v>
      </c>
    </row>
    <row r="502" spans="1:5" ht="34">
      <c r="A502" s="35" t="s">
        <v>458</v>
      </c>
      <c r="B502" s="1" t="s">
        <v>459</v>
      </c>
      <c r="C502" s="15" t="s">
        <v>467</v>
      </c>
      <c r="D502" s="15" t="s">
        <v>481</v>
      </c>
      <c r="E502" s="28">
        <f>1.83-0.288-0.78+(0.004)-0.18-(0.002)</f>
        <v>0.58400000000000007</v>
      </c>
    </row>
    <row r="503" spans="1:5" ht="34">
      <c r="A503" s="35" t="s">
        <v>458</v>
      </c>
      <c r="B503" s="1" t="s">
        <v>459</v>
      </c>
      <c r="C503" s="15" t="s">
        <v>467</v>
      </c>
      <c r="D503" s="15" t="s">
        <v>482</v>
      </c>
      <c r="E503" s="28">
        <f>1.778-0.522-0.352-0.285</f>
        <v>0.61899999999999999</v>
      </c>
    </row>
    <row r="504" spans="1:5" ht="34">
      <c r="A504" s="35" t="s">
        <v>458</v>
      </c>
      <c r="B504" s="1" t="s">
        <v>459</v>
      </c>
      <c r="C504" s="15" t="s">
        <v>467</v>
      </c>
      <c r="D504" s="15" t="s">
        <v>483</v>
      </c>
      <c r="E504" s="28">
        <f>0.044</f>
        <v>4.3999999999999997E-2</v>
      </c>
    </row>
    <row r="505" spans="1:5" ht="34">
      <c r="A505" s="35" t="s">
        <v>458</v>
      </c>
      <c r="B505" s="1" t="s">
        <v>459</v>
      </c>
      <c r="C505" s="15" t="s">
        <v>467</v>
      </c>
      <c r="D505" s="15" t="s">
        <v>484</v>
      </c>
      <c r="E505" s="28">
        <f>11.04-1.84-1.84</f>
        <v>7.3599999999999994</v>
      </c>
    </row>
    <row r="506" spans="1:5" ht="34">
      <c r="A506" s="35" t="s">
        <v>458</v>
      </c>
      <c r="B506" s="1" t="s">
        <v>459</v>
      </c>
      <c r="C506" s="15" t="s">
        <v>467</v>
      </c>
      <c r="D506" s="15" t="s">
        <v>485</v>
      </c>
      <c r="E506" s="28">
        <f>1.84-1.577</f>
        <v>0.26300000000000012</v>
      </c>
    </row>
    <row r="507" spans="1:5" ht="34">
      <c r="A507" s="35" t="s">
        <v>458</v>
      </c>
      <c r="B507" s="1" t="s">
        <v>459</v>
      </c>
      <c r="C507" s="15" t="s">
        <v>467</v>
      </c>
      <c r="D507" s="15" t="s">
        <v>486</v>
      </c>
      <c r="E507" s="28">
        <f>1.84-0.75</f>
        <v>1.0900000000000001</v>
      </c>
    </row>
    <row r="508" spans="1:5" ht="34">
      <c r="A508" s="35" t="s">
        <v>458</v>
      </c>
      <c r="B508" s="1" t="s">
        <v>459</v>
      </c>
      <c r="C508" s="15" t="s">
        <v>467</v>
      </c>
      <c r="D508" s="15" t="s">
        <v>487</v>
      </c>
      <c r="E508" s="28">
        <f>5.48-1.83-1.77-1.058-(0.042)</f>
        <v>0.78000000000000025</v>
      </c>
    </row>
    <row r="509" spans="1:5" ht="34">
      <c r="A509" s="35" t="s">
        <v>458</v>
      </c>
      <c r="B509" s="1" t="s">
        <v>459</v>
      </c>
      <c r="C509" s="15" t="s">
        <v>467</v>
      </c>
      <c r="D509" s="15" t="s">
        <v>488</v>
      </c>
      <c r="E509" s="28">
        <f>1.83-0.12-0.406-(0.002)-0.084</f>
        <v>1.2179999999999997</v>
      </c>
    </row>
    <row r="510" spans="1:5" ht="34">
      <c r="A510" s="35" t="s">
        <v>458</v>
      </c>
      <c r="B510" s="1" t="s">
        <v>459</v>
      </c>
      <c r="C510" s="15" t="s">
        <v>467</v>
      </c>
      <c r="D510" s="15" t="s">
        <v>489</v>
      </c>
      <c r="E510" s="28">
        <f>5.45-1.849-1.72</f>
        <v>1.881</v>
      </c>
    </row>
    <row r="511" spans="1:5" ht="34">
      <c r="A511" s="35" t="s">
        <v>458</v>
      </c>
      <c r="B511" s="1" t="s">
        <v>459</v>
      </c>
      <c r="C511" s="15" t="s">
        <v>467</v>
      </c>
      <c r="D511" s="15" t="s">
        <v>490</v>
      </c>
      <c r="E511" s="28">
        <f>1.72-0.194</f>
        <v>1.526</v>
      </c>
    </row>
    <row r="512" spans="1:5" ht="34">
      <c r="A512" s="35" t="s">
        <v>458</v>
      </c>
      <c r="B512" s="1" t="s">
        <v>459</v>
      </c>
      <c r="C512" s="15" t="s">
        <v>467</v>
      </c>
      <c r="D512" s="15" t="s">
        <v>491</v>
      </c>
      <c r="E512" s="28">
        <f>5.51-1.836</f>
        <v>3.6739999999999995</v>
      </c>
    </row>
    <row r="513" spans="1:5" ht="34">
      <c r="A513" s="35" t="s">
        <v>458</v>
      </c>
      <c r="B513" s="1" t="s">
        <v>459</v>
      </c>
      <c r="C513" s="15" t="s">
        <v>467</v>
      </c>
      <c r="D513" s="15" t="s">
        <v>492</v>
      </c>
      <c r="E513" s="28">
        <f>1.836-0.708-(0.054)-0.71-(0.004)</f>
        <v>0.3600000000000001</v>
      </c>
    </row>
    <row r="514" spans="1:5" ht="34">
      <c r="A514" s="35" t="s">
        <v>458</v>
      </c>
      <c r="B514" s="1" t="s">
        <v>459</v>
      </c>
      <c r="C514" s="15" t="s">
        <v>493</v>
      </c>
      <c r="D514" s="15" t="s">
        <v>494</v>
      </c>
      <c r="E514" s="28">
        <f>3.6</f>
        <v>3.6</v>
      </c>
    </row>
    <row r="515" spans="1:5" ht="34">
      <c r="A515" s="35" t="s">
        <v>458</v>
      </c>
      <c r="B515" s="1" t="s">
        <v>495</v>
      </c>
      <c r="C515" s="15" t="s">
        <v>462</v>
      </c>
      <c r="D515" s="10" t="s">
        <v>350</v>
      </c>
      <c r="E515" s="25">
        <f>4.44-0.54-1.115-0.57-0.556-0.558-0.558</f>
        <v>0.54300000000000015</v>
      </c>
    </row>
    <row r="516" spans="1:5" ht="34">
      <c r="A516" s="35" t="s">
        <v>458</v>
      </c>
      <c r="B516" s="1" t="s">
        <v>495</v>
      </c>
      <c r="C516" s="15" t="s">
        <v>462</v>
      </c>
      <c r="D516" s="10" t="s">
        <v>496</v>
      </c>
      <c r="E516" s="25">
        <f>0.558-0.28-0.142</f>
        <v>0.13600000000000004</v>
      </c>
    </row>
    <row r="517" spans="1:5" ht="34">
      <c r="A517" s="35" t="s">
        <v>458</v>
      </c>
      <c r="B517" s="1" t="s">
        <v>495</v>
      </c>
      <c r="C517" s="15" t="s">
        <v>462</v>
      </c>
      <c r="D517" s="15" t="s">
        <v>497</v>
      </c>
      <c r="E517" s="29">
        <f>5.1-1.69-1.706-0.376-0.032</f>
        <v>1.2959999999999998</v>
      </c>
    </row>
    <row r="518" spans="1:5" ht="34">
      <c r="A518" s="35" t="s">
        <v>458</v>
      </c>
      <c r="B518" s="1" t="s">
        <v>498</v>
      </c>
      <c r="C518" s="9" t="s">
        <v>499</v>
      </c>
      <c r="D518" s="14" t="s">
        <v>82</v>
      </c>
      <c r="E518" s="22">
        <f>0.495</f>
        <v>0.495</v>
      </c>
    </row>
    <row r="519" spans="1:5" ht="34">
      <c r="A519" s="35" t="s">
        <v>458</v>
      </c>
      <c r="B519" s="1" t="s">
        <v>498</v>
      </c>
      <c r="C519" s="9" t="s">
        <v>500</v>
      </c>
      <c r="D519" s="14" t="s">
        <v>93</v>
      </c>
      <c r="E519" s="23">
        <f>2.046-0.14-0.048-0.046-0.144-0.284-0.48-0.19-0.048-0.048-0.048-0.048-0.05-0.048-0.048-0.048-0.096-0.048-0.048-0.048-0.048</f>
        <v>3.9999999999999619E-2</v>
      </c>
    </row>
    <row r="520" spans="1:5" ht="34">
      <c r="A520" s="35" t="s">
        <v>458</v>
      </c>
      <c r="B520" s="1" t="s">
        <v>498</v>
      </c>
      <c r="C520" s="9" t="s">
        <v>501</v>
      </c>
      <c r="D520" s="14" t="s">
        <v>93</v>
      </c>
      <c r="E520" s="23">
        <f>2.02-0.048-0.048-0.378-0.282-0.094-0.047-0.048-0.095-0.046-0.096</f>
        <v>0.83799999999999975</v>
      </c>
    </row>
    <row r="521" spans="1:5" ht="34">
      <c r="A521" s="35" t="s">
        <v>458</v>
      </c>
      <c r="B521" s="1" t="s">
        <v>498</v>
      </c>
      <c r="C521" s="9" t="s">
        <v>499</v>
      </c>
      <c r="D521" s="14" t="s">
        <v>110</v>
      </c>
      <c r="E521" s="22">
        <f>1.45-0.072</f>
        <v>1.3779999999999999</v>
      </c>
    </row>
    <row r="522" spans="1:5" ht="34">
      <c r="A522" s="35" t="s">
        <v>458</v>
      </c>
      <c r="B522" s="1" t="s">
        <v>498</v>
      </c>
      <c r="C522" s="9" t="s">
        <v>499</v>
      </c>
      <c r="D522" s="14" t="s">
        <v>502</v>
      </c>
      <c r="E522" s="22">
        <f>1.5-0.076-0.074-0.302</f>
        <v>1.0479999999999998</v>
      </c>
    </row>
    <row r="523" spans="1:5" ht="34">
      <c r="A523" s="35" t="s">
        <v>458</v>
      </c>
      <c r="B523" s="1" t="s">
        <v>498</v>
      </c>
      <c r="C523" s="9" t="s">
        <v>499</v>
      </c>
      <c r="D523" s="14" t="s">
        <v>503</v>
      </c>
      <c r="E523" s="22">
        <f>6.154-0.154-0.154-0.389-1.005-0.077-0.619-0.078</f>
        <v>3.6780000000000004</v>
      </c>
    </row>
    <row r="524" spans="1:5" ht="34">
      <c r="A524" s="35" t="s">
        <v>458</v>
      </c>
      <c r="B524" s="1" t="s">
        <v>498</v>
      </c>
      <c r="C524" s="9" t="s">
        <v>499</v>
      </c>
      <c r="D524" s="14" t="s">
        <v>504</v>
      </c>
      <c r="E524" s="22">
        <f>1.455-0.194-0.096-0.098-0.097-0.194-0.097</f>
        <v>0.67900000000000005</v>
      </c>
    </row>
    <row r="525" spans="1:5" ht="34">
      <c r="A525" s="35" t="s">
        <v>458</v>
      </c>
      <c r="B525" s="1" t="s">
        <v>498</v>
      </c>
      <c r="C525" s="9" t="s">
        <v>499</v>
      </c>
      <c r="D525" s="14" t="s">
        <v>505</v>
      </c>
      <c r="E525" s="22">
        <f>2.064-0.194-0.39-0.098-0.196-0.293-0.098-0.295-0.099-0.096</f>
        <v>0.30500000000000005</v>
      </c>
    </row>
    <row r="526" spans="1:5" ht="34">
      <c r="A526" s="35" t="s">
        <v>458</v>
      </c>
      <c r="B526" s="1" t="s">
        <v>498</v>
      </c>
      <c r="C526" s="9" t="s">
        <v>499</v>
      </c>
      <c r="D526" s="14" t="s">
        <v>506</v>
      </c>
      <c r="E526" s="22">
        <f>0.194-0.132</f>
        <v>6.2E-2</v>
      </c>
    </row>
    <row r="527" spans="1:5" ht="34">
      <c r="A527" s="35" t="s">
        <v>458</v>
      </c>
      <c r="B527" s="1" t="s">
        <v>498</v>
      </c>
      <c r="C527" s="9" t="s">
        <v>499</v>
      </c>
      <c r="D527" s="14" t="s">
        <v>507</v>
      </c>
      <c r="E527" s="22">
        <f>1.09-0.136-0.136-0.272-0.272-0.136</f>
        <v>0.13800000000000001</v>
      </c>
    </row>
    <row r="528" spans="1:5" ht="34">
      <c r="A528" s="35" t="s">
        <v>458</v>
      </c>
      <c r="B528" s="1" t="s">
        <v>498</v>
      </c>
      <c r="C528" s="9" t="s">
        <v>499</v>
      </c>
      <c r="D528" s="8" t="s">
        <v>508</v>
      </c>
      <c r="E528" s="24">
        <f>0.96-0.159-0.32-0.16</f>
        <v>0.32099999999999995</v>
      </c>
    </row>
    <row r="529" spans="1:5" ht="34">
      <c r="A529" s="35" t="s">
        <v>458</v>
      </c>
      <c r="B529" s="1" t="s">
        <v>498</v>
      </c>
      <c r="C529" s="9" t="s">
        <v>499</v>
      </c>
      <c r="D529" s="8" t="s">
        <v>509</v>
      </c>
      <c r="E529" s="24">
        <f>0.915-0.464</f>
        <v>0.45100000000000001</v>
      </c>
    </row>
    <row r="530" spans="1:5" ht="34">
      <c r="A530" s="35" t="s">
        <v>458</v>
      </c>
      <c r="B530" s="12" t="s">
        <v>498</v>
      </c>
      <c r="C530" s="15" t="s">
        <v>510</v>
      </c>
      <c r="D530" s="1" t="s">
        <v>511</v>
      </c>
      <c r="E530" s="24">
        <f>0.016</f>
        <v>1.6E-2</v>
      </c>
    </row>
    <row r="531" spans="1:5" ht="34">
      <c r="A531" s="35" t="s">
        <v>458</v>
      </c>
      <c r="B531" s="12" t="s">
        <v>498</v>
      </c>
      <c r="C531" s="15" t="s">
        <v>512</v>
      </c>
      <c r="D531" s="10" t="s">
        <v>513</v>
      </c>
      <c r="E531" s="24">
        <f>4.16-0.464-0.469</f>
        <v>3.2270000000000003</v>
      </c>
    </row>
    <row r="532" spans="1:5" ht="34">
      <c r="A532" s="35" t="s">
        <v>458</v>
      </c>
      <c r="B532" s="12" t="s">
        <v>498</v>
      </c>
      <c r="C532" s="15" t="s">
        <v>512</v>
      </c>
      <c r="D532" s="10" t="s">
        <v>514</v>
      </c>
      <c r="E532" s="24">
        <f>0.464-0.282-0.095</f>
        <v>8.700000000000005E-2</v>
      </c>
    </row>
    <row r="533" spans="1:5" ht="34">
      <c r="A533" s="35" t="s">
        <v>458</v>
      </c>
      <c r="B533" s="1" t="s">
        <v>498</v>
      </c>
      <c r="C533" s="9" t="s">
        <v>499</v>
      </c>
      <c r="D533" s="8" t="s">
        <v>515</v>
      </c>
      <c r="E533" s="24">
        <f>3.775-0.172-1.029-0.172-0.172-0.17-0.168-0.17-0.856-0.514</f>
        <v>0.35199999999999976</v>
      </c>
    </row>
    <row r="534" spans="1:5" ht="34">
      <c r="A534" s="35" t="s">
        <v>458</v>
      </c>
      <c r="B534" s="1" t="s">
        <v>498</v>
      </c>
      <c r="C534" s="9" t="s">
        <v>499</v>
      </c>
      <c r="D534" s="8" t="s">
        <v>516</v>
      </c>
      <c r="E534" s="24">
        <f>1.05-0.519</f>
        <v>0.53100000000000003</v>
      </c>
    </row>
    <row r="535" spans="1:5" ht="34">
      <c r="A535" s="35" t="s">
        <v>458</v>
      </c>
      <c r="B535" s="1" t="s">
        <v>498</v>
      </c>
      <c r="C535" s="9" t="s">
        <v>499</v>
      </c>
      <c r="D535" s="8" t="s">
        <v>517</v>
      </c>
      <c r="E535" s="24">
        <f>5.848-2.924-0.293-1-0.291</f>
        <v>1.3399999999999999</v>
      </c>
    </row>
    <row r="536" spans="1:5" ht="34">
      <c r="A536" s="35" t="s">
        <v>458</v>
      </c>
      <c r="B536" s="12" t="s">
        <v>498</v>
      </c>
      <c r="C536" s="15" t="s">
        <v>512</v>
      </c>
      <c r="D536" s="10" t="s">
        <v>518</v>
      </c>
      <c r="E536" s="24">
        <f>0.824-0.448-0.036</f>
        <v>0.33999999999999997</v>
      </c>
    </row>
    <row r="537" spans="1:5" ht="34">
      <c r="A537" s="35" t="s">
        <v>458</v>
      </c>
      <c r="B537" s="12" t="s">
        <v>498</v>
      </c>
      <c r="C537" s="9" t="s">
        <v>499</v>
      </c>
      <c r="D537" s="1" t="s">
        <v>519</v>
      </c>
      <c r="E537" s="24">
        <f>4.106-1.023</f>
        <v>3.0830000000000002</v>
      </c>
    </row>
    <row r="538" spans="1:5" ht="34">
      <c r="A538" s="35" t="s">
        <v>458</v>
      </c>
      <c r="B538" s="12" t="s">
        <v>498</v>
      </c>
      <c r="C538" s="15" t="s">
        <v>520</v>
      </c>
      <c r="D538" s="1" t="s">
        <v>157</v>
      </c>
      <c r="E538" s="24">
        <f>3.84-0.958-(0.002)-0.962-0.96</f>
        <v>0.95799999999999996</v>
      </c>
    </row>
    <row r="539" spans="1:5" ht="34">
      <c r="A539" s="35" t="s">
        <v>458</v>
      </c>
      <c r="B539" s="12" t="s">
        <v>498</v>
      </c>
      <c r="C539" s="15" t="s">
        <v>520</v>
      </c>
      <c r="D539" s="1" t="s">
        <v>521</v>
      </c>
      <c r="E539" s="24">
        <f>0.962-0.644</f>
        <v>0.31799999999999995</v>
      </c>
    </row>
    <row r="540" spans="1:5" ht="34">
      <c r="A540" s="35" t="s">
        <v>458</v>
      </c>
      <c r="B540" s="12" t="s">
        <v>498</v>
      </c>
      <c r="C540" s="15" t="s">
        <v>520</v>
      </c>
      <c r="D540" s="1" t="s">
        <v>522</v>
      </c>
      <c r="E540" s="24">
        <f>0.958-0.08-0.042-0.074-0.162+(0.002)-0.482</f>
        <v>0.12</v>
      </c>
    </row>
    <row r="541" spans="1:5" ht="34">
      <c r="A541" s="35" t="s">
        <v>458</v>
      </c>
      <c r="B541" s="12" t="s">
        <v>498</v>
      </c>
      <c r="C541" s="15" t="s">
        <v>520</v>
      </c>
      <c r="D541" s="1" t="s">
        <v>523</v>
      </c>
      <c r="E541" s="24">
        <f>0.96-0.326</f>
        <v>0.6339999999999999</v>
      </c>
    </row>
    <row r="542" spans="1:5" ht="34">
      <c r="A542" s="35" t="s">
        <v>458</v>
      </c>
      <c r="B542" s="1" t="s">
        <v>498</v>
      </c>
      <c r="C542" s="15" t="s">
        <v>512</v>
      </c>
      <c r="D542" s="10" t="s">
        <v>524</v>
      </c>
      <c r="E542" s="24">
        <f>1.398-0.068-0.234-(0.002)-0.5-0.052-0.466-(0.002)</f>
        <v>7.3999999999999788E-2</v>
      </c>
    </row>
    <row r="543" spans="1:5" ht="34">
      <c r="A543" s="35" t="s">
        <v>458</v>
      </c>
      <c r="B543" s="12" t="s">
        <v>498</v>
      </c>
      <c r="C543" s="15" t="s">
        <v>525</v>
      </c>
      <c r="D543" s="10" t="s">
        <v>526</v>
      </c>
      <c r="E543" s="24">
        <f>5.094-1.089-0.058-0.7-0.861-0.242-0.082-0.7-0.97</f>
        <v>0.39200000000000124</v>
      </c>
    </row>
    <row r="544" spans="1:5" ht="34">
      <c r="A544" s="35" t="s">
        <v>458</v>
      </c>
      <c r="B544" s="12" t="s">
        <v>498</v>
      </c>
      <c r="C544" s="15" t="s">
        <v>525</v>
      </c>
      <c r="D544" s="10" t="s">
        <v>527</v>
      </c>
      <c r="E544" s="24">
        <f>0.242-0.104</f>
        <v>0.13800000000000001</v>
      </c>
    </row>
    <row r="545" spans="1:5" ht="34">
      <c r="A545" s="35" t="s">
        <v>458</v>
      </c>
      <c r="B545" s="12" t="s">
        <v>498</v>
      </c>
      <c r="C545" s="12" t="s">
        <v>510</v>
      </c>
      <c r="D545" s="1" t="s">
        <v>528</v>
      </c>
      <c r="E545" s="24">
        <f>1.81-1.226-(0.014)</f>
        <v>0.57000000000000006</v>
      </c>
    </row>
    <row r="546" spans="1:5" ht="34">
      <c r="A546" s="35" t="s">
        <v>458</v>
      </c>
      <c r="B546" s="12" t="s">
        <v>498</v>
      </c>
      <c r="C546" s="12" t="s">
        <v>520</v>
      </c>
      <c r="D546" s="1" t="s">
        <v>479</v>
      </c>
      <c r="E546" s="24">
        <f>5.54-3.445-1.846</f>
        <v>0.24900000000000011</v>
      </c>
    </row>
    <row r="547" spans="1:5" ht="34">
      <c r="A547" s="35" t="s">
        <v>458</v>
      </c>
      <c r="B547" s="12" t="s">
        <v>498</v>
      </c>
      <c r="C547" s="12" t="s">
        <v>520</v>
      </c>
      <c r="D547" s="1" t="s">
        <v>529</v>
      </c>
      <c r="E547" s="24">
        <f>3.31</f>
        <v>3.31</v>
      </c>
    </row>
    <row r="548" spans="1:5" ht="34">
      <c r="A548" s="35" t="s">
        <v>458</v>
      </c>
      <c r="B548" s="12" t="s">
        <v>498</v>
      </c>
      <c r="C548" s="12" t="s">
        <v>510</v>
      </c>
      <c r="D548" s="1" t="s">
        <v>530</v>
      </c>
      <c r="E548" s="24">
        <f>1.828-1.006-0.198-(0.004)</f>
        <v>0.62000000000000011</v>
      </c>
    </row>
    <row r="549" spans="1:5" ht="34">
      <c r="A549" s="35" t="s">
        <v>458</v>
      </c>
      <c r="B549" s="12" t="s">
        <v>498</v>
      </c>
      <c r="C549" s="12" t="s">
        <v>510</v>
      </c>
      <c r="D549" s="1" t="s">
        <v>531</v>
      </c>
      <c r="E549" s="24">
        <f>1.83-1.228-(0.002)-0.222-0.15-(0.004)</f>
        <v>0.22400000000000012</v>
      </c>
    </row>
    <row r="550" spans="1:5" ht="34">
      <c r="A550" s="35" t="s">
        <v>458</v>
      </c>
      <c r="B550" s="12" t="s">
        <v>498</v>
      </c>
      <c r="C550" s="12" t="s">
        <v>532</v>
      </c>
      <c r="D550" s="1" t="s">
        <v>533</v>
      </c>
      <c r="E550" s="26">
        <f>1.302-0.42-0.157-0.409-0.044-0.102-0.09-0.008</f>
        <v>7.2000000000000147E-2</v>
      </c>
    </row>
    <row r="551" spans="1:5" ht="34">
      <c r="A551" s="35" t="s">
        <v>458</v>
      </c>
      <c r="B551" s="12" t="s">
        <v>498</v>
      </c>
      <c r="C551" s="15" t="s">
        <v>525</v>
      </c>
      <c r="D551" s="1" t="s">
        <v>534</v>
      </c>
      <c r="E551" s="26">
        <f>5.022-1.252-1.022-0.294-0.138-0.148</f>
        <v>2.1680000000000001</v>
      </c>
    </row>
    <row r="552" spans="1:5" ht="34">
      <c r="A552" s="35" t="s">
        <v>458</v>
      </c>
      <c r="B552" s="12" t="s">
        <v>498</v>
      </c>
      <c r="C552" s="15" t="s">
        <v>525</v>
      </c>
      <c r="D552" s="1" t="s">
        <v>535</v>
      </c>
      <c r="E552" s="26">
        <f>0.294</f>
        <v>0.29399999999999998</v>
      </c>
    </row>
    <row r="553" spans="1:5" ht="34">
      <c r="A553" s="35" t="s">
        <v>458</v>
      </c>
      <c r="B553" s="1" t="s">
        <v>498</v>
      </c>
      <c r="C553" s="15" t="s">
        <v>510</v>
      </c>
      <c r="D553" s="10" t="s">
        <v>536</v>
      </c>
      <c r="E553" s="24">
        <f>0.068</f>
        <v>6.8000000000000005E-2</v>
      </c>
    </row>
    <row r="554" spans="1:5" ht="34">
      <c r="A554" s="35" t="s">
        <v>458</v>
      </c>
      <c r="B554" s="12" t="s">
        <v>498</v>
      </c>
      <c r="C554" s="15" t="s">
        <v>512</v>
      </c>
      <c r="D554" s="1" t="s">
        <v>537</v>
      </c>
      <c r="E554" s="24">
        <f>5.58-3-1.838</f>
        <v>0.74199999999999999</v>
      </c>
    </row>
    <row r="555" spans="1:5" ht="34">
      <c r="A555" s="35" t="s">
        <v>458</v>
      </c>
      <c r="B555" s="12" t="s">
        <v>498</v>
      </c>
      <c r="C555" s="15" t="s">
        <v>512</v>
      </c>
      <c r="D555" s="1" t="s">
        <v>538</v>
      </c>
      <c r="E555" s="24">
        <f>1.83-0.518-0.566-(0.004)</f>
        <v>0.7420000000000001</v>
      </c>
    </row>
    <row r="556" spans="1:5" ht="34">
      <c r="A556" s="35" t="s">
        <v>458</v>
      </c>
      <c r="B556" s="12" t="s">
        <v>498</v>
      </c>
      <c r="C556" s="15" t="s">
        <v>512</v>
      </c>
      <c r="D556" s="1" t="s">
        <v>539</v>
      </c>
      <c r="E556" s="24">
        <f>1.834-0.094-0.284-(0.004)-0.37-(0.004)-0.596-(0.002)</f>
        <v>0.47999999999999987</v>
      </c>
    </row>
    <row r="557" spans="1:5" ht="34">
      <c r="A557" s="35" t="s">
        <v>458</v>
      </c>
      <c r="B557" s="1" t="s">
        <v>498</v>
      </c>
      <c r="C557" s="15" t="s">
        <v>540</v>
      </c>
      <c r="D557" s="1" t="s">
        <v>541</v>
      </c>
      <c r="E557" s="24">
        <f>1.76-1.088-0.064-0.142+(0.008)</f>
        <v>0.47399999999999987</v>
      </c>
    </row>
    <row r="558" spans="1:5" ht="34">
      <c r="A558" s="35" t="s">
        <v>458</v>
      </c>
      <c r="B558" s="1" t="s">
        <v>498</v>
      </c>
      <c r="C558" s="15" t="s">
        <v>510</v>
      </c>
      <c r="D558" s="1" t="s">
        <v>542</v>
      </c>
      <c r="E558" s="24">
        <f>5.5-1.8</f>
        <v>3.7</v>
      </c>
    </row>
    <row r="559" spans="1:5" ht="34">
      <c r="A559" s="35" t="s">
        <v>458</v>
      </c>
      <c r="B559" s="1" t="s">
        <v>498</v>
      </c>
      <c r="C559" s="15" t="s">
        <v>510</v>
      </c>
      <c r="D559" s="1" t="s">
        <v>543</v>
      </c>
      <c r="E559" s="24">
        <f>1.82-0.924-0.272-(0.004)</f>
        <v>0.62</v>
      </c>
    </row>
    <row r="560" spans="1:5" ht="34">
      <c r="A560" s="35" t="s">
        <v>458</v>
      </c>
      <c r="B560" s="12" t="s">
        <v>498</v>
      </c>
      <c r="C560" s="15" t="s">
        <v>525</v>
      </c>
      <c r="D560" s="1" t="s">
        <v>544</v>
      </c>
      <c r="E560" s="26">
        <f>2.605-1.258-0.164-0.144-0.059</f>
        <v>0.9800000000000002</v>
      </c>
    </row>
    <row r="561" spans="1:5" ht="34">
      <c r="A561" s="35" t="s">
        <v>458</v>
      </c>
      <c r="B561" s="1" t="s">
        <v>498</v>
      </c>
      <c r="C561" s="15" t="s">
        <v>510</v>
      </c>
      <c r="D561" s="1" t="s">
        <v>545</v>
      </c>
      <c r="E561" s="24">
        <f>1.876-0.576-0.06-(0.012)-0.54-(0.014)-0.192</f>
        <v>0.48199999999999971</v>
      </c>
    </row>
    <row r="562" spans="1:5" ht="34">
      <c r="A562" s="35" t="s">
        <v>458</v>
      </c>
      <c r="B562" s="1" t="s">
        <v>498</v>
      </c>
      <c r="C562" s="15" t="s">
        <v>512</v>
      </c>
      <c r="D562" s="1" t="s">
        <v>546</v>
      </c>
      <c r="E562" s="24">
        <f>1.845-1.06</f>
        <v>0.78499999999999992</v>
      </c>
    </row>
    <row r="563" spans="1:5" ht="34">
      <c r="A563" s="35" t="s">
        <v>458</v>
      </c>
      <c r="B563" s="12" t="s">
        <v>498</v>
      </c>
      <c r="C563" s="15" t="s">
        <v>525</v>
      </c>
      <c r="D563" s="1" t="s">
        <v>547</v>
      </c>
      <c r="E563" s="26">
        <f>2.466-1.175-0.1-0.144-0.118</f>
        <v>0.92900000000000016</v>
      </c>
    </row>
    <row r="564" spans="1:5" ht="34">
      <c r="A564" s="35" t="s">
        <v>458</v>
      </c>
      <c r="B564" s="1" t="s">
        <v>498</v>
      </c>
      <c r="C564" s="15" t="s">
        <v>540</v>
      </c>
      <c r="D564" s="1" t="s">
        <v>548</v>
      </c>
      <c r="E564" s="24">
        <f>5.48-1.84-1.82-0.44-0.026-0.76-0.165-0.322-0.005</f>
        <v>0.10200000000000048</v>
      </c>
    </row>
    <row r="565" spans="1:5" ht="34">
      <c r="A565" s="35" t="s">
        <v>458</v>
      </c>
      <c r="B565" s="1" t="s">
        <v>498</v>
      </c>
      <c r="C565" s="15" t="s">
        <v>512</v>
      </c>
      <c r="D565" s="1" t="s">
        <v>549</v>
      </c>
      <c r="E565" s="24">
        <f>5.47-1.83-1.778-(0.042)-1.3</f>
        <v>0.51999999999999957</v>
      </c>
    </row>
    <row r="566" spans="1:5" ht="34">
      <c r="A566" s="35" t="s">
        <v>458</v>
      </c>
      <c r="B566" s="1" t="s">
        <v>498</v>
      </c>
      <c r="C566" s="15" t="s">
        <v>512</v>
      </c>
      <c r="D566" s="1" t="s">
        <v>550</v>
      </c>
      <c r="E566" s="24">
        <f>1.778-0.844</f>
        <v>0.93400000000000005</v>
      </c>
    </row>
    <row r="567" spans="1:5" ht="34">
      <c r="A567" s="35" t="s">
        <v>458</v>
      </c>
      <c r="B567" s="1" t="s">
        <v>498</v>
      </c>
      <c r="C567" s="15" t="s">
        <v>520</v>
      </c>
      <c r="D567" s="1" t="s">
        <v>551</v>
      </c>
      <c r="E567" s="24">
        <f>3.69-1.844-0.316-(0.016)</f>
        <v>1.5139999999999998</v>
      </c>
    </row>
    <row r="568" spans="1:5" ht="34">
      <c r="A568" s="35" t="s">
        <v>458</v>
      </c>
      <c r="B568" s="1" t="s">
        <v>498</v>
      </c>
      <c r="C568" s="15" t="s">
        <v>520</v>
      </c>
      <c r="D568" s="1" t="s">
        <v>552</v>
      </c>
      <c r="E568" s="24">
        <f>1.844-0.842-0.14-(0.006)-0.514-(0.002)</f>
        <v>0.34000000000000019</v>
      </c>
    </row>
    <row r="569" spans="1:5" ht="34">
      <c r="A569" s="35" t="s">
        <v>458</v>
      </c>
      <c r="B569" s="1" t="s">
        <v>498</v>
      </c>
      <c r="C569" s="15" t="s">
        <v>512</v>
      </c>
      <c r="D569" s="1" t="s">
        <v>489</v>
      </c>
      <c r="E569" s="24">
        <f>5.24-1.855</f>
        <v>3.3850000000000002</v>
      </c>
    </row>
    <row r="570" spans="1:5" ht="34">
      <c r="A570" s="35" t="s">
        <v>458</v>
      </c>
      <c r="B570" s="1" t="s">
        <v>498</v>
      </c>
      <c r="C570" s="15" t="s">
        <v>510</v>
      </c>
      <c r="D570" s="1" t="s">
        <v>553</v>
      </c>
      <c r="E570" s="24">
        <f>1.79-0.972-0.452-0.014-0.076-(0.028)</f>
        <v>0.24800000000000003</v>
      </c>
    </row>
    <row r="571" spans="1:5" ht="34">
      <c r="A571" s="35" t="s">
        <v>458</v>
      </c>
      <c r="B571" s="1" t="s">
        <v>498</v>
      </c>
      <c r="C571" s="15" t="s">
        <v>510</v>
      </c>
      <c r="D571" s="1" t="s">
        <v>554</v>
      </c>
      <c r="E571" s="24">
        <f>0.04</f>
        <v>0.04</v>
      </c>
    </row>
    <row r="572" spans="1:5" ht="34">
      <c r="A572" s="35" t="s">
        <v>458</v>
      </c>
      <c r="B572" s="1" t="s">
        <v>498</v>
      </c>
      <c r="C572" s="15" t="s">
        <v>512</v>
      </c>
      <c r="D572" s="1" t="s">
        <v>555</v>
      </c>
      <c r="E572" s="24">
        <f>3.72-1.826-0.694-(0.076)-0.161</f>
        <v>0.96300000000000008</v>
      </c>
    </row>
    <row r="573" spans="1:5" ht="34">
      <c r="A573" s="35" t="s">
        <v>458</v>
      </c>
      <c r="B573" s="1" t="s">
        <v>498</v>
      </c>
      <c r="C573" s="15" t="s">
        <v>512</v>
      </c>
      <c r="D573" s="1" t="s">
        <v>556</v>
      </c>
      <c r="E573" s="24">
        <f>1.826-0.49-0.216-(0.02)-0.492-(0.004)</f>
        <v>0.60400000000000009</v>
      </c>
    </row>
    <row r="574" spans="1:5" ht="34">
      <c r="A574" s="35" t="s">
        <v>458</v>
      </c>
      <c r="B574" s="1" t="s">
        <v>498</v>
      </c>
      <c r="C574" s="15" t="s">
        <v>512</v>
      </c>
      <c r="D574" s="1" t="s">
        <v>491</v>
      </c>
      <c r="E574" s="24">
        <f>1.86</f>
        <v>1.86</v>
      </c>
    </row>
    <row r="575" spans="1:5" ht="34">
      <c r="A575" s="35" t="s">
        <v>458</v>
      </c>
      <c r="B575" s="1" t="s">
        <v>498</v>
      </c>
      <c r="C575" s="15" t="s">
        <v>557</v>
      </c>
      <c r="D575" s="1" t="s">
        <v>558</v>
      </c>
      <c r="E575" s="24">
        <f>5.58-1.824-1.857</f>
        <v>1.8990000000000002</v>
      </c>
    </row>
    <row r="576" spans="1:5" ht="34">
      <c r="A576" s="35" t="s">
        <v>458</v>
      </c>
      <c r="B576" s="1" t="s">
        <v>498</v>
      </c>
      <c r="C576" s="15" t="s">
        <v>557</v>
      </c>
      <c r="D576" s="1" t="s">
        <v>559</v>
      </c>
      <c r="E576" s="24">
        <f>1.824-0.58-0.82-(0.008)</f>
        <v>0.41600000000000026</v>
      </c>
    </row>
    <row r="577" spans="1:5" ht="34">
      <c r="A577" s="35" t="s">
        <v>458</v>
      </c>
      <c r="B577" s="1" t="s">
        <v>560</v>
      </c>
      <c r="C577" s="15" t="s">
        <v>561</v>
      </c>
      <c r="D577" s="14" t="s">
        <v>126</v>
      </c>
      <c r="E577" s="23">
        <f>4.275-0.314-0.04</f>
        <v>3.9210000000000003</v>
      </c>
    </row>
    <row r="578" spans="1:5" ht="34">
      <c r="A578" s="35" t="s">
        <v>458</v>
      </c>
      <c r="B578" s="1" t="s">
        <v>560</v>
      </c>
      <c r="C578" s="15" t="s">
        <v>561</v>
      </c>
      <c r="D578" s="14" t="s">
        <v>562</v>
      </c>
      <c r="E578" s="23">
        <f>2.2-0.556-0.558-0.562</f>
        <v>0.52400000000000002</v>
      </c>
    </row>
    <row r="579" spans="1:5" ht="34">
      <c r="A579" s="35" t="s">
        <v>458</v>
      </c>
      <c r="B579" s="1" t="s">
        <v>560</v>
      </c>
      <c r="C579" s="15" t="s">
        <v>561</v>
      </c>
      <c r="D579" s="14" t="s">
        <v>563</v>
      </c>
      <c r="E579" s="23">
        <f>0.71-0.084+(0.004)-0.208-0.042-0.036</f>
        <v>0.34400000000000008</v>
      </c>
    </row>
    <row r="580" spans="1:5" ht="34">
      <c r="A580" s="35" t="s">
        <v>458</v>
      </c>
      <c r="B580" s="1" t="s">
        <v>564</v>
      </c>
      <c r="C580" s="15" t="s">
        <v>565</v>
      </c>
      <c r="D580" s="14" t="s">
        <v>93</v>
      </c>
      <c r="E580" s="23">
        <f>2.092-0.342-0.098-0.148-0.194-0.096-0.098-0.05-0.194-0.098-0.048-0.196-0.05-0.05-0.048</f>
        <v>0.38199999999999984</v>
      </c>
    </row>
    <row r="581" spans="1:5" ht="34">
      <c r="A581" s="35" t="s">
        <v>458</v>
      </c>
      <c r="B581" s="1" t="s">
        <v>564</v>
      </c>
      <c r="C581" s="15" t="s">
        <v>566</v>
      </c>
      <c r="D581" s="14" t="s">
        <v>93</v>
      </c>
      <c r="E581" s="23">
        <f>1.8-0.278-0.046-0.232-0.14-0.048-0.046-0.047-0.048-0.048-0.05-0.048</f>
        <v>0.76899999999999979</v>
      </c>
    </row>
    <row r="582" spans="1:5" ht="34">
      <c r="A582" s="35" t="s">
        <v>458</v>
      </c>
      <c r="B582" s="1" t="s">
        <v>564</v>
      </c>
      <c r="C582" s="15" t="s">
        <v>566</v>
      </c>
      <c r="D582" s="14" t="s">
        <v>567</v>
      </c>
      <c r="E582" s="23">
        <f>0.42</f>
        <v>0.42</v>
      </c>
    </row>
    <row r="583" spans="1:5" ht="34">
      <c r="A583" s="35" t="s">
        <v>458</v>
      </c>
      <c r="B583" s="1" t="s">
        <v>564</v>
      </c>
      <c r="C583" s="15" t="s">
        <v>565</v>
      </c>
      <c r="D583" s="14" t="s">
        <v>152</v>
      </c>
      <c r="E583" s="23">
        <f>3.89-0.425-0.43-0.868-0.44-0.434-0.438-0.432</f>
        <v>0.42300000000000043</v>
      </c>
    </row>
    <row r="584" spans="1:5" ht="34">
      <c r="A584" s="35" t="s">
        <v>458</v>
      </c>
      <c r="B584" s="1" t="s">
        <v>564</v>
      </c>
      <c r="C584" s="15" t="s">
        <v>566</v>
      </c>
      <c r="D584" s="14" t="s">
        <v>152</v>
      </c>
      <c r="E584" s="23">
        <f>1.71</f>
        <v>1.71</v>
      </c>
    </row>
    <row r="585" spans="1:5" ht="34">
      <c r="A585" s="35" t="s">
        <v>458</v>
      </c>
      <c r="B585" s="1" t="s">
        <v>564</v>
      </c>
      <c r="C585" s="15" t="s">
        <v>566</v>
      </c>
      <c r="D585" s="14" t="s">
        <v>152</v>
      </c>
      <c r="E585" s="23">
        <f>3.91-1.738-0.44-0.438</f>
        <v>1.2940000000000003</v>
      </c>
    </row>
    <row r="586" spans="1:5" ht="34">
      <c r="A586" s="35" t="s">
        <v>458</v>
      </c>
      <c r="B586" s="1" t="s">
        <v>564</v>
      </c>
      <c r="C586" s="15" t="s">
        <v>566</v>
      </c>
      <c r="D586" s="14" t="s">
        <v>568</v>
      </c>
      <c r="E586" s="23">
        <f>0.44-0.148-0.076+(0.002)-0.02-0.074-0.02-0.072</f>
        <v>3.2000000000000042E-2</v>
      </c>
    </row>
    <row r="587" spans="1:5" ht="34">
      <c r="A587" s="35" t="s">
        <v>458</v>
      </c>
      <c r="B587" s="1" t="s">
        <v>564</v>
      </c>
      <c r="C587" s="15" t="s">
        <v>566</v>
      </c>
      <c r="D587" s="14" t="s">
        <v>569</v>
      </c>
      <c r="E587" s="23">
        <f>0.438-0.036-0.036-0.018-0.02-0.038-0.018-(0.002)-0.018-0.018-(0.003)-0.018-0.018-0.107-0.036</f>
        <v>5.2000000000000039E-2</v>
      </c>
    </row>
    <row r="588" spans="1:5" ht="34">
      <c r="A588" s="35" t="s">
        <v>458</v>
      </c>
      <c r="B588" s="1" t="s">
        <v>564</v>
      </c>
      <c r="C588" s="15" t="s">
        <v>570</v>
      </c>
      <c r="D588" s="1" t="s">
        <v>571</v>
      </c>
      <c r="E588" s="24">
        <f>1.71-0.144-0.09-0.074-0.09-0.965-0.135-0.176</f>
        <v>3.5999999999999865E-2</v>
      </c>
    </row>
    <row r="589" spans="1:5" ht="34">
      <c r="A589" s="35" t="s">
        <v>458</v>
      </c>
      <c r="B589" s="1" t="s">
        <v>564</v>
      </c>
      <c r="C589" s="15" t="s">
        <v>570</v>
      </c>
      <c r="D589" s="1" t="s">
        <v>572</v>
      </c>
      <c r="E589" s="24">
        <f>0.82-0.018-0.031</f>
        <v>0.77099999999999991</v>
      </c>
    </row>
    <row r="590" spans="1:5" ht="34">
      <c r="A590" s="35" t="s">
        <v>458</v>
      </c>
      <c r="B590" s="1" t="s">
        <v>564</v>
      </c>
      <c r="C590" s="15" t="s">
        <v>566</v>
      </c>
      <c r="D590" s="1" t="s">
        <v>573</v>
      </c>
      <c r="E590" s="24">
        <f>0.924-0.498-0.042-(0.002)-0.032-(0.002)-0.068-(0.002)-0.084-0.084-0.042-(0.002)</f>
        <v>6.6000000000000059E-2</v>
      </c>
    </row>
    <row r="591" spans="1:5" ht="34">
      <c r="A591" s="35" t="s">
        <v>458</v>
      </c>
      <c r="B591" s="1" t="s">
        <v>564</v>
      </c>
      <c r="C591" s="15" t="s">
        <v>570</v>
      </c>
      <c r="D591" s="1" t="s">
        <v>574</v>
      </c>
      <c r="E591" s="24">
        <f>1.844-0.128-0.042-0.154-0.02-0.286-0.026-0.262-0.026-0.133</f>
        <v>0.76700000000000013</v>
      </c>
    </row>
    <row r="592" spans="1:5" ht="34">
      <c r="A592" s="35" t="s">
        <v>458</v>
      </c>
      <c r="B592" s="1" t="s">
        <v>564</v>
      </c>
      <c r="C592" s="15" t="s">
        <v>570</v>
      </c>
      <c r="D592" s="1" t="s">
        <v>575</v>
      </c>
      <c r="E592" s="24">
        <f>4.396-0.186-0.158-0.294-0.026-0.054-1.582-0.136-0.064-0.082-0.09-0.232-0.233-0.216-0.026</f>
        <v>1.0169999999999997</v>
      </c>
    </row>
    <row r="593" spans="1:5" ht="34">
      <c r="A593" s="35" t="s">
        <v>458</v>
      </c>
      <c r="B593" s="1" t="s">
        <v>564</v>
      </c>
      <c r="C593" s="15" t="s">
        <v>570</v>
      </c>
      <c r="D593" s="1" t="s">
        <v>576</v>
      </c>
      <c r="E593" s="24">
        <f>1.264-0.144-0.282-0.064-0.082-0.152</f>
        <v>0.54</v>
      </c>
    </row>
    <row r="594" spans="1:5" ht="34">
      <c r="A594" s="35" t="s">
        <v>458</v>
      </c>
      <c r="B594" s="1" t="s">
        <v>564</v>
      </c>
      <c r="C594" s="15" t="s">
        <v>566</v>
      </c>
      <c r="D594" s="1" t="s">
        <v>577</v>
      </c>
      <c r="E594" s="24">
        <f>3.41-1.686-0.09+(0.001)-0.095-0.132-0.156</f>
        <v>1.252</v>
      </c>
    </row>
    <row r="595" spans="1:5" ht="34">
      <c r="A595" s="35" t="s">
        <v>458</v>
      </c>
      <c r="B595" s="1" t="s">
        <v>564</v>
      </c>
      <c r="C595" s="15" t="s">
        <v>570</v>
      </c>
      <c r="D595" s="1" t="s">
        <v>578</v>
      </c>
      <c r="E595" s="24">
        <f>3.432-0.448-0.118-0.824-0.138-0.151</f>
        <v>1.7530000000000003</v>
      </c>
    </row>
    <row r="596" spans="1:5" ht="34">
      <c r="A596" s="35" t="s">
        <v>458</v>
      </c>
      <c r="B596" s="1" t="s">
        <v>564</v>
      </c>
      <c r="C596" s="15" t="s">
        <v>570</v>
      </c>
      <c r="D596" s="1" t="s">
        <v>579</v>
      </c>
      <c r="E596" s="24">
        <f>2.534-0.616-0.636-0.235-0.078-0.032-0.298-0.032-0.154</f>
        <v>0.45299999999999974</v>
      </c>
    </row>
    <row r="597" spans="1:5" ht="34">
      <c r="A597" s="35" t="s">
        <v>458</v>
      </c>
      <c r="B597" s="1" t="s">
        <v>564</v>
      </c>
      <c r="C597" s="15" t="s">
        <v>565</v>
      </c>
      <c r="D597" s="1" t="s">
        <v>580</v>
      </c>
      <c r="E597" s="24">
        <f>1.69-0.1-(0.004)-0.368-0.108-(0.002)-0.154-0.31-(0.004)</f>
        <v>0.6399999999999999</v>
      </c>
    </row>
    <row r="598" spans="1:5" ht="34">
      <c r="A598" s="35" t="s">
        <v>458</v>
      </c>
      <c r="B598" s="1" t="s">
        <v>564</v>
      </c>
      <c r="C598" s="15" t="s">
        <v>581</v>
      </c>
      <c r="D598" s="1" t="s">
        <v>582</v>
      </c>
      <c r="E598" s="24">
        <f>0.94-0.318-0.32-0.15</f>
        <v>0.15199999999999989</v>
      </c>
    </row>
    <row r="599" spans="1:5" ht="34">
      <c r="A599" s="35" t="s">
        <v>458</v>
      </c>
      <c r="B599" s="1" t="s">
        <v>564</v>
      </c>
      <c r="C599" s="15" t="s">
        <v>525</v>
      </c>
      <c r="D599" s="1" t="s">
        <v>582</v>
      </c>
      <c r="E599" s="24">
        <f>2.23-0.222</f>
        <v>2.008</v>
      </c>
    </row>
    <row r="600" spans="1:5" ht="34">
      <c r="A600" s="35" t="s">
        <v>458</v>
      </c>
      <c r="B600" s="1" t="s">
        <v>564</v>
      </c>
      <c r="C600" s="15" t="s">
        <v>581</v>
      </c>
      <c r="D600" s="1" t="s">
        <v>582</v>
      </c>
      <c r="E600" s="24">
        <f>1.372</f>
        <v>1.3720000000000001</v>
      </c>
    </row>
    <row r="601" spans="1:5" ht="34">
      <c r="A601" s="35" t="s">
        <v>458</v>
      </c>
      <c r="B601" s="1" t="s">
        <v>564</v>
      </c>
      <c r="C601" s="15" t="s">
        <v>581</v>
      </c>
      <c r="D601" s="1" t="s">
        <v>582</v>
      </c>
      <c r="E601" s="24">
        <f>1.812</f>
        <v>1.8120000000000001</v>
      </c>
    </row>
    <row r="602" spans="1:5" ht="34">
      <c r="A602" s="35" t="s">
        <v>458</v>
      </c>
      <c r="B602" s="1" t="s">
        <v>564</v>
      </c>
      <c r="C602" s="15" t="s">
        <v>566</v>
      </c>
      <c r="D602" s="1" t="s">
        <v>583</v>
      </c>
      <c r="E602" s="24">
        <f>1.82-0.19-(0.02)-0.15-(0.006)-0.054-0.252-(0.004)-0.132-(0.002)</f>
        <v>1.01</v>
      </c>
    </row>
    <row r="603" spans="1:5" ht="34">
      <c r="A603" s="35" t="s">
        <v>458</v>
      </c>
      <c r="B603" s="1" t="s">
        <v>564</v>
      </c>
      <c r="C603" s="15" t="s">
        <v>581</v>
      </c>
      <c r="D603" s="1" t="s">
        <v>584</v>
      </c>
      <c r="E603" s="24">
        <f>4.338-1.554-0.674-0.08-0.706-0.332-0.05-0.07-0.134-0.244</f>
        <v>0.49399999999999966</v>
      </c>
    </row>
    <row r="604" spans="1:5" ht="34">
      <c r="A604" s="35" t="s">
        <v>458</v>
      </c>
      <c r="B604" s="10" t="s">
        <v>564</v>
      </c>
      <c r="C604" s="15" t="s">
        <v>566</v>
      </c>
      <c r="D604" s="10" t="s">
        <v>585</v>
      </c>
      <c r="E604" s="24">
        <f>1.85-0.114-(0.052)-0.104-(0.01)-0.17-0.12-0.075-0.26-(0.001)</f>
        <v>0.94399999999999984</v>
      </c>
    </row>
    <row r="605" spans="1:5" ht="34">
      <c r="A605" s="35" t="s">
        <v>458</v>
      </c>
      <c r="B605" s="10" t="s">
        <v>564</v>
      </c>
      <c r="C605" s="15" t="s">
        <v>581</v>
      </c>
      <c r="D605" s="10" t="s">
        <v>586</v>
      </c>
      <c r="E605" s="24">
        <f>1.79</f>
        <v>1.79</v>
      </c>
    </row>
    <row r="606" spans="1:5" ht="34">
      <c r="A606" s="35" t="s">
        <v>458</v>
      </c>
      <c r="B606" s="10" t="s">
        <v>564</v>
      </c>
      <c r="C606" s="15" t="s">
        <v>566</v>
      </c>
      <c r="D606" s="10" t="s">
        <v>587</v>
      </c>
      <c r="E606" s="24">
        <f>1.8</f>
        <v>1.8</v>
      </c>
    </row>
    <row r="607" spans="1:5" ht="34">
      <c r="A607" s="35" t="s">
        <v>458</v>
      </c>
      <c r="B607" s="10" t="s">
        <v>564</v>
      </c>
      <c r="C607" s="15" t="s">
        <v>581</v>
      </c>
      <c r="D607" s="10" t="s">
        <v>588</v>
      </c>
      <c r="E607" s="24">
        <f>0.268</f>
        <v>0.26800000000000002</v>
      </c>
    </row>
    <row r="608" spans="1:5" ht="34">
      <c r="A608" s="35" t="s">
        <v>458</v>
      </c>
      <c r="B608" s="1" t="s">
        <v>564</v>
      </c>
      <c r="C608" s="15" t="s">
        <v>581</v>
      </c>
      <c r="D608" s="1" t="s">
        <v>534</v>
      </c>
      <c r="E608" s="24">
        <f>1.03</f>
        <v>1.03</v>
      </c>
    </row>
    <row r="609" spans="1:5" ht="34">
      <c r="A609" s="35" t="s">
        <v>458</v>
      </c>
      <c r="B609" s="10" t="s">
        <v>564</v>
      </c>
      <c r="C609" s="15" t="s">
        <v>581</v>
      </c>
      <c r="D609" s="10" t="s">
        <v>589</v>
      </c>
      <c r="E609" s="24">
        <f>2.68</f>
        <v>2.68</v>
      </c>
    </row>
    <row r="610" spans="1:5" ht="34">
      <c r="A610" s="35" t="s">
        <v>458</v>
      </c>
      <c r="B610" s="1" t="s">
        <v>564</v>
      </c>
      <c r="C610" s="15" t="s">
        <v>581</v>
      </c>
      <c r="D610" s="1" t="s">
        <v>544</v>
      </c>
      <c r="E610" s="24">
        <f>2.692-0.106-0.556-0.25</f>
        <v>1.7800000000000002</v>
      </c>
    </row>
    <row r="611" spans="1:5" ht="34">
      <c r="A611" s="35" t="s">
        <v>458</v>
      </c>
      <c r="B611" s="1" t="s">
        <v>564</v>
      </c>
      <c r="C611" s="15" t="s">
        <v>581</v>
      </c>
      <c r="D611" s="1" t="s">
        <v>547</v>
      </c>
      <c r="E611" s="24">
        <f>1.794</f>
        <v>1.794</v>
      </c>
    </row>
    <row r="612" spans="1:5" ht="34">
      <c r="A612" s="35" t="s">
        <v>458</v>
      </c>
      <c r="B612" s="10" t="s">
        <v>564</v>
      </c>
      <c r="C612" s="15" t="s">
        <v>566</v>
      </c>
      <c r="D612" s="10" t="s">
        <v>590</v>
      </c>
      <c r="E612" s="24">
        <f>1.79-0.826-(0.054)-0.276-(0.002)</f>
        <v>0.63200000000000001</v>
      </c>
    </row>
    <row r="613" spans="1:5" ht="34">
      <c r="A613" s="35" t="s">
        <v>458</v>
      </c>
      <c r="B613" s="1" t="s">
        <v>564</v>
      </c>
      <c r="C613" s="15" t="s">
        <v>591</v>
      </c>
      <c r="D613" s="1" t="s">
        <v>592</v>
      </c>
      <c r="E613" s="24">
        <f>1.158-0.67-0.32+(0.002)</f>
        <v>0.16999999999999987</v>
      </c>
    </row>
    <row r="614" spans="1:5" ht="34">
      <c r="A614" s="35" t="s">
        <v>458</v>
      </c>
      <c r="B614" s="1" t="s">
        <v>564</v>
      </c>
      <c r="C614" s="15" t="s">
        <v>591</v>
      </c>
      <c r="D614" s="1" t="s">
        <v>593</v>
      </c>
      <c r="E614" s="24">
        <f>3.46-2.34-0.688</f>
        <v>0.43200000000000016</v>
      </c>
    </row>
    <row r="615" spans="1:5" ht="34">
      <c r="A615" s="35" t="s">
        <v>458</v>
      </c>
      <c r="B615" s="1" t="s">
        <v>564</v>
      </c>
      <c r="C615" s="15" t="s">
        <v>581</v>
      </c>
      <c r="D615" s="1" t="s">
        <v>594</v>
      </c>
      <c r="E615" s="26">
        <f>2.586-0.086-0.778</f>
        <v>1.722</v>
      </c>
    </row>
    <row r="616" spans="1:5" ht="34">
      <c r="A616" s="35" t="s">
        <v>458</v>
      </c>
      <c r="B616" s="1" t="s">
        <v>595</v>
      </c>
      <c r="C616" s="14" t="s">
        <v>596</v>
      </c>
      <c r="D616" s="6" t="s">
        <v>597</v>
      </c>
      <c r="E616" s="25">
        <f>1.746-0.928-0.718</f>
        <v>9.9999999999999978E-2</v>
      </c>
    </row>
    <row r="617" spans="1:5" ht="30">
      <c r="A617" s="35" t="s">
        <v>598</v>
      </c>
      <c r="B617" s="14" t="s">
        <v>599</v>
      </c>
      <c r="C617" s="14" t="s">
        <v>600</v>
      </c>
      <c r="D617" s="14" t="s">
        <v>272</v>
      </c>
      <c r="E617" s="23">
        <f>0.48-0.238</f>
        <v>0.24199999999999999</v>
      </c>
    </row>
    <row r="618" spans="1:5" ht="17">
      <c r="A618" s="35" t="s">
        <v>601</v>
      </c>
      <c r="B618" s="9" t="s">
        <v>602</v>
      </c>
      <c r="C618" s="9" t="s">
        <v>603</v>
      </c>
      <c r="D618" s="9" t="s">
        <v>604</v>
      </c>
      <c r="E618" s="23">
        <f>3.86-0.056-0.114-0.054-0.22-0.055-0.059-0.055-0.056-0.056-0.056-0.06-0.566-0.056-0.057-0.057-0.056-0.166-0.056</f>
        <v>2.0049999999999994</v>
      </c>
    </row>
    <row r="619" spans="1:5" ht="17">
      <c r="A619" s="35" t="s">
        <v>601</v>
      </c>
      <c r="B619" s="14" t="s">
        <v>602</v>
      </c>
      <c r="C619" s="14" t="s">
        <v>603</v>
      </c>
      <c r="D619" s="14" t="s">
        <v>605</v>
      </c>
      <c r="E619" s="23">
        <f>2.12-1.155-0.19-0.191</f>
        <v>0.58400000000000007</v>
      </c>
    </row>
    <row r="620" spans="1:5" ht="17">
      <c r="A620" s="35" t="s">
        <v>601</v>
      </c>
      <c r="B620" s="14" t="s">
        <v>602</v>
      </c>
      <c r="C620" s="14" t="s">
        <v>603</v>
      </c>
      <c r="D620" s="14" t="s">
        <v>606</v>
      </c>
      <c r="E620" s="23">
        <f>0.19-0.096-0.028</f>
        <v>6.6000000000000003E-2</v>
      </c>
    </row>
    <row r="621" spans="1:5" ht="17">
      <c r="A621" s="35" t="s">
        <v>601</v>
      </c>
      <c r="B621" s="14" t="s">
        <v>602</v>
      </c>
      <c r="C621" s="14" t="s">
        <v>603</v>
      </c>
      <c r="D621" s="14" t="s">
        <v>607</v>
      </c>
      <c r="E621" s="23">
        <f>2.086-0.229-0.23-0.121-0.12-0.36-0.117</f>
        <v>0.90899999999999981</v>
      </c>
    </row>
    <row r="622" spans="1:5" ht="17">
      <c r="A622" s="35" t="s">
        <v>601</v>
      </c>
      <c r="B622" s="14" t="s">
        <v>602</v>
      </c>
      <c r="C622" s="14" t="s">
        <v>112</v>
      </c>
      <c r="D622" s="14" t="s">
        <v>608</v>
      </c>
      <c r="E622" s="23">
        <f>2.337-0.23-0.231-0.23</f>
        <v>1.6460000000000001</v>
      </c>
    </row>
    <row r="623" spans="1:5" ht="17">
      <c r="A623" s="35" t="s">
        <v>601</v>
      </c>
      <c r="B623" s="14" t="s">
        <v>602</v>
      </c>
      <c r="C623" s="14" t="s">
        <v>112</v>
      </c>
      <c r="D623" s="14" t="s">
        <v>609</v>
      </c>
      <c r="E623" s="23">
        <f>0.23-0.018-0.15</f>
        <v>6.2000000000000027E-2</v>
      </c>
    </row>
    <row r="624" spans="1:5" ht="17">
      <c r="A624" s="35" t="s">
        <v>601</v>
      </c>
      <c r="B624" s="14" t="s">
        <v>602</v>
      </c>
      <c r="C624" s="14" t="s">
        <v>112</v>
      </c>
      <c r="D624" s="14" t="s">
        <v>610</v>
      </c>
      <c r="E624" s="23">
        <f>0.23-0.076</f>
        <v>0.15400000000000003</v>
      </c>
    </row>
    <row r="625" spans="1:5" ht="17">
      <c r="A625" s="35" t="s">
        <v>601</v>
      </c>
      <c r="B625" s="14" t="s">
        <v>602</v>
      </c>
      <c r="C625" s="14" t="s">
        <v>112</v>
      </c>
      <c r="D625" s="14" t="s">
        <v>611</v>
      </c>
      <c r="E625" s="23">
        <f>2.17-0.31-0.31-0.307</f>
        <v>1.2429999999999999</v>
      </c>
    </row>
    <row r="626" spans="1:5" ht="17">
      <c r="A626" s="35" t="s">
        <v>601</v>
      </c>
      <c r="B626" s="14" t="s">
        <v>602</v>
      </c>
      <c r="C626" s="14" t="s">
        <v>112</v>
      </c>
      <c r="D626" s="14" t="s">
        <v>612</v>
      </c>
      <c r="E626" s="23">
        <f>0.31-0.02-0.02-(0.002)</f>
        <v>0.26799999999999996</v>
      </c>
    </row>
    <row r="627" spans="1:5" ht="17">
      <c r="A627" s="35" t="s">
        <v>601</v>
      </c>
      <c r="B627" s="14" t="s">
        <v>602</v>
      </c>
      <c r="C627" s="14" t="s">
        <v>112</v>
      </c>
      <c r="D627" s="14" t="s">
        <v>613</v>
      </c>
      <c r="E627" s="23">
        <f>2.529-0.39-2.328+(0.577)</f>
        <v>0.3879999999999999</v>
      </c>
    </row>
    <row r="628" spans="1:5" ht="17">
      <c r="A628" s="35" t="s">
        <v>601</v>
      </c>
      <c r="B628" s="14" t="s">
        <v>602</v>
      </c>
      <c r="C628" s="14" t="s">
        <v>112</v>
      </c>
      <c r="D628" s="14" t="s">
        <v>614</v>
      </c>
      <c r="E628" s="23">
        <f>0.39-0.196-0.068</f>
        <v>0.126</v>
      </c>
    </row>
    <row r="629" spans="1:5" ht="17">
      <c r="A629" s="35" t="s">
        <v>601</v>
      </c>
      <c r="B629" s="14" t="s">
        <v>602</v>
      </c>
      <c r="C629" s="14" t="s">
        <v>112</v>
      </c>
      <c r="D629" s="14" t="s">
        <v>615</v>
      </c>
      <c r="E629" s="23">
        <f>3.132-0.384-0.384-0.382-0.384</f>
        <v>1.5980000000000003</v>
      </c>
    </row>
    <row r="630" spans="1:5" ht="17">
      <c r="A630" s="35" t="s">
        <v>601</v>
      </c>
      <c r="B630" s="14" t="s">
        <v>602</v>
      </c>
      <c r="C630" s="14" t="s">
        <v>112</v>
      </c>
      <c r="D630" s="14" t="s">
        <v>616</v>
      </c>
      <c r="E630" s="23">
        <f>0.384-0.156</f>
        <v>0.22800000000000001</v>
      </c>
    </row>
    <row r="631" spans="1:5" ht="17">
      <c r="A631" s="35" t="s">
        <v>601</v>
      </c>
      <c r="B631" s="1" t="s">
        <v>602</v>
      </c>
      <c r="C631" s="12" t="s">
        <v>617</v>
      </c>
      <c r="D631" s="1" t="s">
        <v>618</v>
      </c>
      <c r="E631" s="24">
        <f>2.025-0.042-0.07-0.014</f>
        <v>1.8989999999999998</v>
      </c>
    </row>
    <row r="632" spans="1:5" ht="17">
      <c r="A632" s="35" t="s">
        <v>601</v>
      </c>
      <c r="B632" s="1" t="s">
        <v>602</v>
      </c>
      <c r="C632" s="12" t="s">
        <v>617</v>
      </c>
      <c r="D632" s="1" t="s">
        <v>572</v>
      </c>
      <c r="E632" s="24">
        <f>1.552-0.44-0.02-0.076-0.015-0.034-0.491-0.109</f>
        <v>0.3670000000000001</v>
      </c>
    </row>
    <row r="633" spans="1:5" ht="17">
      <c r="A633" s="35" t="s">
        <v>601</v>
      </c>
      <c r="B633" s="1" t="s">
        <v>602</v>
      </c>
      <c r="C633" s="12" t="s">
        <v>617</v>
      </c>
      <c r="D633" s="1" t="s">
        <v>574</v>
      </c>
      <c r="E633" s="24">
        <f>1.49-0.45-0.062-0.016+(0.45)-0.062-0.086-0.042-0.042-0.034-0.06-0.014-0.156-0.02</f>
        <v>0.89599999999999957</v>
      </c>
    </row>
    <row r="634" spans="1:5" ht="17">
      <c r="A634" s="35" t="s">
        <v>601</v>
      </c>
      <c r="B634" s="1" t="s">
        <v>602</v>
      </c>
      <c r="C634" s="14" t="s">
        <v>617</v>
      </c>
      <c r="D634" s="8" t="s">
        <v>619</v>
      </c>
      <c r="E634" s="24">
        <f>2.9-0.014-0.158-0.156-0.104-0.09-0.282</f>
        <v>2.0960000000000001</v>
      </c>
    </row>
    <row r="635" spans="1:5" ht="17">
      <c r="A635" s="35" t="s">
        <v>601</v>
      </c>
      <c r="B635" s="1" t="s">
        <v>602</v>
      </c>
      <c r="C635" s="14" t="s">
        <v>617</v>
      </c>
      <c r="D635" s="8" t="s">
        <v>619</v>
      </c>
      <c r="E635" s="24">
        <f>2.35-0.084-1.39-0.334-0.074</f>
        <v>0.46800000000000003</v>
      </c>
    </row>
    <row r="636" spans="1:5" ht="17">
      <c r="A636" s="35" t="s">
        <v>601</v>
      </c>
      <c r="B636" s="1" t="s">
        <v>602</v>
      </c>
      <c r="C636" s="14" t="s">
        <v>617</v>
      </c>
      <c r="D636" s="8" t="s">
        <v>576</v>
      </c>
      <c r="E636" s="24">
        <f>4.442-0.266-2.107-0.218-0.03-0.024-0.22-0.024-0.37-0.7</f>
        <v>0.48299999999999987</v>
      </c>
    </row>
    <row r="637" spans="1:5" ht="17">
      <c r="A637" s="35" t="s">
        <v>601</v>
      </c>
      <c r="B637" s="1" t="s">
        <v>602</v>
      </c>
      <c r="C637" s="14" t="s">
        <v>617</v>
      </c>
      <c r="D637" s="8" t="s">
        <v>579</v>
      </c>
      <c r="E637" s="24">
        <f>0.572-0.072-0.318-0.114-(0.002)</f>
        <v>6.5999999999999934E-2</v>
      </c>
    </row>
    <row r="638" spans="1:5" ht="17">
      <c r="A638" s="35" t="s">
        <v>601</v>
      </c>
      <c r="B638" s="1" t="s">
        <v>602</v>
      </c>
      <c r="C638" s="14" t="s">
        <v>617</v>
      </c>
      <c r="D638" s="8" t="s">
        <v>579</v>
      </c>
      <c r="E638" s="24">
        <f>5.096-1.29-0.134-0.16-0.05-0.148-0.096</f>
        <v>3.218</v>
      </c>
    </row>
    <row r="639" spans="1:5" ht="17">
      <c r="A639" s="35" t="s">
        <v>601</v>
      </c>
      <c r="B639" s="1" t="s">
        <v>602</v>
      </c>
      <c r="C639" s="14" t="s">
        <v>617</v>
      </c>
      <c r="D639" s="8" t="s">
        <v>582</v>
      </c>
      <c r="E639" s="24">
        <f>4.942-1.27-0.238-0.076-1</f>
        <v>2.3580000000000001</v>
      </c>
    </row>
    <row r="640" spans="1:5" ht="17">
      <c r="A640" s="35" t="s">
        <v>601</v>
      </c>
      <c r="B640" s="1" t="s">
        <v>602</v>
      </c>
      <c r="C640" s="14" t="s">
        <v>617</v>
      </c>
      <c r="D640" s="8" t="s">
        <v>620</v>
      </c>
      <c r="E640" s="24">
        <f>2.264-0.308-0.428-0.02-0.148</f>
        <v>1.3599999999999999</v>
      </c>
    </row>
    <row r="641" spans="1:5" ht="30">
      <c r="A641" s="35" t="s">
        <v>601</v>
      </c>
      <c r="B641" s="1" t="s">
        <v>602</v>
      </c>
      <c r="C641" s="12" t="s">
        <v>621</v>
      </c>
      <c r="D641" s="1" t="s">
        <v>622</v>
      </c>
      <c r="E641" s="26">
        <f>5.44-2.212-1.068-1.08</f>
        <v>1.08</v>
      </c>
    </row>
    <row r="642" spans="1:5" ht="30">
      <c r="A642" s="35" t="s">
        <v>601</v>
      </c>
      <c r="B642" s="1" t="s">
        <v>602</v>
      </c>
      <c r="C642" s="12" t="s">
        <v>621</v>
      </c>
      <c r="D642" s="1" t="s">
        <v>623</v>
      </c>
      <c r="E642" s="26">
        <f>1.068-0.122-0.104-0.084-0.11-0.471</f>
        <v>0.17700000000000016</v>
      </c>
    </row>
    <row r="643" spans="1:5" ht="17">
      <c r="A643" s="35" t="s">
        <v>601</v>
      </c>
      <c r="B643" s="1" t="s">
        <v>602</v>
      </c>
      <c r="C643" s="14" t="s">
        <v>617</v>
      </c>
      <c r="D643" s="1" t="s">
        <v>534</v>
      </c>
      <c r="E643" s="24">
        <f>4.678-0.102-0.06-0.152-1.55-0.062</f>
        <v>2.7520000000000002</v>
      </c>
    </row>
    <row r="644" spans="1:5" ht="17">
      <c r="A644" s="35" t="s">
        <v>601</v>
      </c>
      <c r="B644" s="1" t="s">
        <v>602</v>
      </c>
      <c r="C644" s="14" t="s">
        <v>617</v>
      </c>
      <c r="D644" s="1" t="s">
        <v>544</v>
      </c>
      <c r="E644" s="24">
        <f>2.964-1.01-0.06-0.102</f>
        <v>1.7919999999999998</v>
      </c>
    </row>
    <row r="645" spans="1:5" ht="17">
      <c r="A645" s="35" t="s">
        <v>601</v>
      </c>
      <c r="B645" s="1" t="s">
        <v>602</v>
      </c>
      <c r="C645" s="14" t="s">
        <v>617</v>
      </c>
      <c r="D645" s="1" t="s">
        <v>544</v>
      </c>
      <c r="E645" s="24">
        <f>1.792</f>
        <v>1.792</v>
      </c>
    </row>
    <row r="646" spans="1:5" ht="17">
      <c r="A646" s="35" t="s">
        <v>601</v>
      </c>
      <c r="B646" s="1" t="s">
        <v>602</v>
      </c>
      <c r="C646" s="12" t="s">
        <v>603</v>
      </c>
      <c r="D646" s="1" t="s">
        <v>624</v>
      </c>
      <c r="E646" s="24">
        <f>1.98-0.234-0.694-0.308</f>
        <v>0.74399999999999999</v>
      </c>
    </row>
    <row r="647" spans="1:5" ht="17">
      <c r="A647" s="35" t="s">
        <v>601</v>
      </c>
      <c r="B647" s="1" t="s">
        <v>602</v>
      </c>
      <c r="C647" s="14" t="s">
        <v>617</v>
      </c>
      <c r="D647" s="8" t="s">
        <v>547</v>
      </c>
      <c r="E647" s="24">
        <f>5.202</f>
        <v>5.202</v>
      </c>
    </row>
    <row r="648" spans="1:5" ht="17">
      <c r="A648" s="35" t="s">
        <v>601</v>
      </c>
      <c r="B648" s="1" t="s">
        <v>602</v>
      </c>
      <c r="C648" s="14" t="s">
        <v>603</v>
      </c>
      <c r="D648" s="8" t="s">
        <v>625</v>
      </c>
      <c r="E648" s="24">
        <f>2.212</f>
        <v>2.2120000000000002</v>
      </c>
    </row>
    <row r="649" spans="1:5" ht="17">
      <c r="A649" s="35" t="s">
        <v>601</v>
      </c>
      <c r="B649" s="1" t="s">
        <v>602</v>
      </c>
      <c r="C649" s="14" t="s">
        <v>617</v>
      </c>
      <c r="D649" s="8" t="s">
        <v>626</v>
      </c>
      <c r="E649" s="24">
        <f>1.263-0.612-0.104</f>
        <v>0.54699999999999993</v>
      </c>
    </row>
    <row r="650" spans="1:5" ht="34">
      <c r="A650" s="35" t="s">
        <v>627</v>
      </c>
      <c r="B650" s="1">
        <v>20880</v>
      </c>
      <c r="C650" s="15" t="s">
        <v>628</v>
      </c>
      <c r="D650" s="1" t="s">
        <v>93</v>
      </c>
      <c r="E650" s="24">
        <f>0.046</f>
        <v>4.5999999999999999E-2</v>
      </c>
    </row>
    <row r="651" spans="1:5" ht="17">
      <c r="A651" s="35" t="s">
        <v>629</v>
      </c>
      <c r="B651" s="14" t="s">
        <v>630</v>
      </c>
      <c r="C651" s="14" t="s">
        <v>631</v>
      </c>
      <c r="D651" s="14">
        <v>200</v>
      </c>
      <c r="E651" s="22">
        <f>0.726-0.372-0.071-0.064-0.078</f>
        <v>0.14099999999999996</v>
      </c>
    </row>
    <row r="652" spans="1:5" ht="17">
      <c r="A652" s="35" t="s">
        <v>629</v>
      </c>
      <c r="B652" s="14" t="s">
        <v>632</v>
      </c>
      <c r="C652" s="14" t="s">
        <v>633</v>
      </c>
      <c r="D652" s="14">
        <v>12</v>
      </c>
      <c r="E652" s="22">
        <f>1.23-0.24-0.152-0.022</f>
        <v>0.81599999999999995</v>
      </c>
    </row>
    <row r="653" spans="1:5" ht="17">
      <c r="A653" s="35" t="s">
        <v>629</v>
      </c>
      <c r="B653" s="14" t="s">
        <v>634</v>
      </c>
      <c r="C653" s="14" t="s">
        <v>633</v>
      </c>
      <c r="D653" s="14">
        <v>40</v>
      </c>
      <c r="E653" s="22">
        <f>1.34-0.556-0.029</f>
        <v>0.755</v>
      </c>
    </row>
    <row r="654" spans="1:5" ht="17">
      <c r="A654" s="35" t="s">
        <v>629</v>
      </c>
      <c r="B654" s="14" t="s">
        <v>635</v>
      </c>
      <c r="C654" s="14" t="s">
        <v>633</v>
      </c>
      <c r="D654" s="14">
        <v>110</v>
      </c>
      <c r="E654" s="22">
        <f>1.35-0.223</f>
        <v>1.127</v>
      </c>
    </row>
    <row r="655" spans="1:5" ht="17">
      <c r="A655" s="35" t="s">
        <v>629</v>
      </c>
      <c r="B655" s="14" t="s">
        <v>635</v>
      </c>
      <c r="C655" s="14" t="s">
        <v>633</v>
      </c>
      <c r="D655" s="14">
        <v>250</v>
      </c>
      <c r="E655" s="23">
        <f>2.338</f>
        <v>2.3380000000000001</v>
      </c>
    </row>
    <row r="656" spans="1:5" ht="17">
      <c r="A656" s="35" t="s">
        <v>629</v>
      </c>
      <c r="B656" s="14" t="s">
        <v>634</v>
      </c>
      <c r="C656" s="14" t="s">
        <v>636</v>
      </c>
      <c r="D656" s="14">
        <v>310</v>
      </c>
      <c r="E656" s="23">
        <f>14.75-7.36</f>
        <v>7.39</v>
      </c>
    </row>
    <row r="657" spans="1:5" ht="17">
      <c r="A657" s="35" t="s">
        <v>629</v>
      </c>
      <c r="B657" s="14" t="s">
        <v>634</v>
      </c>
      <c r="C657" s="14" t="s">
        <v>636</v>
      </c>
      <c r="D657" s="14">
        <v>400</v>
      </c>
      <c r="E657" s="22">
        <f>12-8.233-1.004-0.034-0.168</f>
        <v>2.5609999999999995</v>
      </c>
    </row>
    <row r="658" spans="1:5" ht="17">
      <c r="A658" s="35" t="s">
        <v>629</v>
      </c>
      <c r="B658" s="14" t="s">
        <v>635</v>
      </c>
      <c r="C658" s="14" t="s">
        <v>636</v>
      </c>
      <c r="D658" s="14">
        <v>400</v>
      </c>
      <c r="E658" s="22">
        <f>4.345</f>
        <v>4.3449999999999998</v>
      </c>
    </row>
    <row r="659" spans="1:5" ht="30">
      <c r="A659" s="35" t="s">
        <v>629</v>
      </c>
      <c r="B659" s="14" t="s">
        <v>10</v>
      </c>
      <c r="C659" s="14" t="s">
        <v>637</v>
      </c>
      <c r="D659" s="14">
        <v>14</v>
      </c>
      <c r="E659" s="22">
        <v>2.5999999999999999E-2</v>
      </c>
    </row>
    <row r="660" spans="1:5" ht="30">
      <c r="A660" s="35" t="s">
        <v>629</v>
      </c>
      <c r="B660" s="14" t="s">
        <v>10</v>
      </c>
      <c r="C660" s="14" t="s">
        <v>638</v>
      </c>
      <c r="D660" s="14">
        <v>170</v>
      </c>
      <c r="E660" s="22">
        <f>0.609-0.074-0.178</f>
        <v>0.35700000000000004</v>
      </c>
    </row>
    <row r="661" spans="1:5" ht="30">
      <c r="A661" s="35" t="s">
        <v>629</v>
      </c>
      <c r="B661" s="14" t="s">
        <v>48</v>
      </c>
      <c r="C661" s="14" t="s">
        <v>639</v>
      </c>
      <c r="D661" s="14" t="s">
        <v>640</v>
      </c>
      <c r="E661" s="22">
        <f>0.043</f>
        <v>4.2999999999999997E-2</v>
      </c>
    </row>
    <row r="662" spans="1:5" ht="30">
      <c r="A662" s="35" t="s">
        <v>629</v>
      </c>
      <c r="B662" s="14" t="s">
        <v>48</v>
      </c>
      <c r="C662" s="14" t="s">
        <v>641</v>
      </c>
      <c r="D662" s="14">
        <v>80</v>
      </c>
      <c r="E662" s="22">
        <f>0.236-0.08-0.038-0.06</f>
        <v>5.7999999999999968E-2</v>
      </c>
    </row>
    <row r="663" spans="1:5" ht="30">
      <c r="A663" s="35" t="s">
        <v>629</v>
      </c>
      <c r="B663" s="14" t="s">
        <v>48</v>
      </c>
      <c r="C663" s="14" t="s">
        <v>642</v>
      </c>
      <c r="D663" s="14">
        <v>250</v>
      </c>
      <c r="E663" s="22">
        <f>1.19-0.42-0.392-0.154</f>
        <v>0.224</v>
      </c>
    </row>
    <row r="664" spans="1:5" ht="17">
      <c r="A664" s="35" t="s">
        <v>629</v>
      </c>
      <c r="B664" s="14" t="s">
        <v>643</v>
      </c>
      <c r="C664" s="14" t="s">
        <v>644</v>
      </c>
      <c r="D664" s="14">
        <v>15</v>
      </c>
      <c r="E664" s="22">
        <f>0.496-0.016</f>
        <v>0.48</v>
      </c>
    </row>
    <row r="665" spans="1:5" ht="17">
      <c r="A665" s="35" t="s">
        <v>629</v>
      </c>
      <c r="B665" s="14" t="s">
        <v>645</v>
      </c>
      <c r="C665" s="14" t="s">
        <v>646</v>
      </c>
      <c r="D665" s="14">
        <v>20</v>
      </c>
      <c r="E665" s="22">
        <f>0.385-0.101</f>
        <v>0.28400000000000003</v>
      </c>
    </row>
    <row r="666" spans="1:5" ht="30">
      <c r="A666" s="35" t="s">
        <v>629</v>
      </c>
      <c r="B666" s="5" t="s">
        <v>498</v>
      </c>
      <c r="C666" s="14" t="s">
        <v>647</v>
      </c>
      <c r="D666" s="13" t="s">
        <v>648</v>
      </c>
      <c r="E666" s="22">
        <f>0.1-0.004</f>
        <v>9.6000000000000002E-2</v>
      </c>
    </row>
    <row r="667" spans="1:5" ht="30">
      <c r="A667" s="35" t="s">
        <v>629</v>
      </c>
      <c r="B667" s="5" t="s">
        <v>498</v>
      </c>
      <c r="C667" s="14" t="s">
        <v>649</v>
      </c>
      <c r="D667" s="14">
        <v>15</v>
      </c>
      <c r="E667" s="23">
        <f>0.41-0.012-0.2-0.09-0.038</f>
        <v>6.9999999999999951E-2</v>
      </c>
    </row>
    <row r="668" spans="1:5" ht="30">
      <c r="A668" s="35" t="s">
        <v>629</v>
      </c>
      <c r="B668" s="5" t="s">
        <v>498</v>
      </c>
      <c r="C668" s="14" t="s">
        <v>649</v>
      </c>
      <c r="D668" s="14">
        <v>160</v>
      </c>
      <c r="E668" s="23">
        <f>0.178-0.016</f>
        <v>0.16199999999999998</v>
      </c>
    </row>
    <row r="669" spans="1:5" ht="30">
      <c r="A669" s="35" t="s">
        <v>629</v>
      </c>
      <c r="B669" s="5" t="s">
        <v>498</v>
      </c>
      <c r="C669" s="14" t="s">
        <v>649</v>
      </c>
      <c r="D669" s="14">
        <v>250</v>
      </c>
      <c r="E669" s="23">
        <f>0.955-0.76</f>
        <v>0.19499999999999995</v>
      </c>
    </row>
    <row r="670" spans="1:5" ht="17">
      <c r="A670" s="35" t="s">
        <v>629</v>
      </c>
      <c r="B670" s="14" t="s">
        <v>650</v>
      </c>
      <c r="C670" s="16" t="s">
        <v>651</v>
      </c>
      <c r="D670" s="14">
        <v>120</v>
      </c>
      <c r="E670" s="22">
        <f>2.157-0.3-0.108-0.06-0.937</f>
        <v>0.75199999999999978</v>
      </c>
    </row>
    <row r="671" spans="1:5" ht="17">
      <c r="A671" s="35" t="s">
        <v>629</v>
      </c>
      <c r="B671" s="14" t="s">
        <v>652</v>
      </c>
      <c r="C671" s="16" t="s">
        <v>651</v>
      </c>
      <c r="D671" s="14">
        <v>140</v>
      </c>
      <c r="E671" s="23">
        <f>2.485-0.002-0.016</f>
        <v>2.4670000000000001</v>
      </c>
    </row>
    <row r="672" spans="1:5" ht="17">
      <c r="A672" s="35" t="s">
        <v>629</v>
      </c>
      <c r="B672" s="14" t="s">
        <v>652</v>
      </c>
      <c r="C672" s="16" t="s">
        <v>651</v>
      </c>
      <c r="D672" s="14">
        <v>170</v>
      </c>
      <c r="E672" s="23">
        <f>1.947</f>
        <v>1.9470000000000001</v>
      </c>
    </row>
    <row r="673" spans="1:5" ht="17">
      <c r="A673" s="35" t="s">
        <v>629</v>
      </c>
      <c r="B673" s="14" t="s">
        <v>652</v>
      </c>
      <c r="C673" s="16" t="s">
        <v>651</v>
      </c>
      <c r="D673" s="14">
        <v>180</v>
      </c>
      <c r="E673" s="23">
        <f>2.617-0.076</f>
        <v>2.5409999999999999</v>
      </c>
    </row>
    <row r="674" spans="1:5" ht="17">
      <c r="A674" s="35" t="s">
        <v>629</v>
      </c>
      <c r="B674" s="14" t="s">
        <v>652</v>
      </c>
      <c r="C674" s="16" t="s">
        <v>651</v>
      </c>
      <c r="D674" s="14" t="s">
        <v>653</v>
      </c>
      <c r="E674" s="23">
        <f>3.01</f>
        <v>3.01</v>
      </c>
    </row>
    <row r="675" spans="1:5" ht="30">
      <c r="A675" s="35" t="s">
        <v>629</v>
      </c>
      <c r="B675" s="1" t="s">
        <v>654</v>
      </c>
      <c r="C675" s="14" t="s">
        <v>649</v>
      </c>
      <c r="D675" s="8">
        <v>15</v>
      </c>
      <c r="E675" s="24">
        <f>0.41-0.008-0.034-0.05</f>
        <v>0.318</v>
      </c>
    </row>
    <row r="676" spans="1:5" ht="30">
      <c r="A676" s="35" t="s">
        <v>629</v>
      </c>
      <c r="B676" s="1" t="s">
        <v>654</v>
      </c>
      <c r="C676" s="14" t="s">
        <v>649</v>
      </c>
      <c r="D676" s="8">
        <v>30</v>
      </c>
      <c r="E676" s="24">
        <f>2.788-0.031</f>
        <v>2.7569999999999997</v>
      </c>
    </row>
    <row r="677" spans="1:5" ht="30">
      <c r="A677" s="35" t="s">
        <v>629</v>
      </c>
      <c r="B677" s="1" t="s">
        <v>654</v>
      </c>
      <c r="C677" s="14" t="s">
        <v>649</v>
      </c>
      <c r="D677" s="8">
        <v>32</v>
      </c>
      <c r="E677" s="24">
        <f>1.156</f>
        <v>1.1559999999999999</v>
      </c>
    </row>
    <row r="678" spans="1:5" ht="30">
      <c r="A678" s="35" t="s">
        <v>629</v>
      </c>
      <c r="B678" s="1" t="s">
        <v>654</v>
      </c>
      <c r="C678" s="14" t="s">
        <v>649</v>
      </c>
      <c r="D678" s="8">
        <v>32</v>
      </c>
      <c r="E678" s="24">
        <f>1.526</f>
        <v>1.526</v>
      </c>
    </row>
    <row r="679" spans="1:5" ht="30">
      <c r="A679" s="35" t="s">
        <v>629</v>
      </c>
      <c r="B679" s="1" t="s">
        <v>654</v>
      </c>
      <c r="C679" s="14" t="s">
        <v>649</v>
      </c>
      <c r="D679" s="8">
        <v>36</v>
      </c>
      <c r="E679" s="24">
        <f>2.75-0.285-0.096-0.861-0.093-0.187-0.187-0.082</f>
        <v>0.95899999999999974</v>
      </c>
    </row>
    <row r="680" spans="1:5" ht="30">
      <c r="A680" s="35" t="s">
        <v>629</v>
      </c>
      <c r="B680" s="1" t="s">
        <v>654</v>
      </c>
      <c r="C680" s="14" t="s">
        <v>649</v>
      </c>
      <c r="D680" s="8">
        <v>40</v>
      </c>
      <c r="E680" s="24">
        <f>3.108-0.226-0.057-0.112-0.087-0.057-0.115-0.059-0.115</f>
        <v>2.2799999999999994</v>
      </c>
    </row>
    <row r="681" spans="1:5" ht="30">
      <c r="A681" s="35" t="s">
        <v>629</v>
      </c>
      <c r="B681" s="1" t="s">
        <v>654</v>
      </c>
      <c r="C681" s="14" t="s">
        <v>649</v>
      </c>
      <c r="D681" s="8">
        <v>50</v>
      </c>
      <c r="E681" s="24">
        <f>2.416-0.088</f>
        <v>2.3279999999999998</v>
      </c>
    </row>
    <row r="682" spans="1:5" ht="30">
      <c r="A682" s="35" t="s">
        <v>629</v>
      </c>
      <c r="B682" s="1" t="s">
        <v>654</v>
      </c>
      <c r="C682" s="14" t="s">
        <v>649</v>
      </c>
      <c r="D682" s="8">
        <v>56</v>
      </c>
      <c r="E682" s="24">
        <f>0.096-0.038-0.015</f>
        <v>4.3000000000000003E-2</v>
      </c>
    </row>
    <row r="683" spans="1:5" ht="30">
      <c r="A683" s="35" t="s">
        <v>629</v>
      </c>
      <c r="B683" s="1" t="s">
        <v>654</v>
      </c>
      <c r="C683" s="14" t="s">
        <v>649</v>
      </c>
      <c r="D683" s="8">
        <v>60</v>
      </c>
      <c r="E683" s="24">
        <f>3.078-0.75-0.252-0.126-0.25-0.125-0.378-0.2</f>
        <v>0.99699999999999966</v>
      </c>
    </row>
    <row r="684" spans="1:5" ht="30">
      <c r="A684" s="35" t="s">
        <v>629</v>
      </c>
      <c r="B684" s="1" t="s">
        <v>654</v>
      </c>
      <c r="C684" s="14" t="s">
        <v>649</v>
      </c>
      <c r="D684" s="8">
        <v>70</v>
      </c>
      <c r="E684" s="24">
        <f>1.692-0.17</f>
        <v>1.522</v>
      </c>
    </row>
    <row r="685" spans="1:5" ht="30">
      <c r="A685" s="35" t="s">
        <v>629</v>
      </c>
      <c r="B685" s="1" t="s">
        <v>654</v>
      </c>
      <c r="C685" s="14" t="s">
        <v>649</v>
      </c>
      <c r="D685" s="8">
        <v>80</v>
      </c>
      <c r="E685" s="24">
        <f>5.008-0.385-0.221-0.4</f>
        <v>4.0019999999999998</v>
      </c>
    </row>
    <row r="686" spans="1:5" ht="30">
      <c r="A686" s="35" t="s">
        <v>629</v>
      </c>
      <c r="B686" s="1" t="s">
        <v>654</v>
      </c>
      <c r="C686" s="14" t="s">
        <v>581</v>
      </c>
      <c r="D686" s="8">
        <v>90</v>
      </c>
      <c r="E686" s="24">
        <f>3.18-0.26-0.54</f>
        <v>2.38</v>
      </c>
    </row>
    <row r="687" spans="1:5" ht="30">
      <c r="A687" s="35" t="s">
        <v>629</v>
      </c>
      <c r="B687" s="1" t="s">
        <v>654</v>
      </c>
      <c r="C687" s="14" t="s">
        <v>581</v>
      </c>
      <c r="D687" s="8">
        <v>100</v>
      </c>
      <c r="E687" s="24">
        <f>8.492-0.6-0.7-0.6</f>
        <v>6.5920000000000014</v>
      </c>
    </row>
    <row r="688" spans="1:5" ht="30">
      <c r="A688" s="35" t="s">
        <v>629</v>
      </c>
      <c r="B688" s="1" t="s">
        <v>654</v>
      </c>
      <c r="C688" s="14" t="s">
        <v>649</v>
      </c>
      <c r="D688" s="8">
        <v>100</v>
      </c>
      <c r="E688" s="24">
        <f>4.682-2.2</f>
        <v>2.4820000000000002</v>
      </c>
    </row>
    <row r="689" spans="1:5" ht="30">
      <c r="A689" s="35" t="s">
        <v>629</v>
      </c>
      <c r="B689" s="1" t="s">
        <v>654</v>
      </c>
      <c r="C689" s="14" t="s">
        <v>581</v>
      </c>
      <c r="D689" s="8">
        <v>120</v>
      </c>
      <c r="E689" s="24">
        <f>7.972-0.395-1.575-1.4</f>
        <v>4.6020000000000003</v>
      </c>
    </row>
    <row r="690" spans="1:5" ht="30">
      <c r="A690" s="35" t="s">
        <v>629</v>
      </c>
      <c r="B690" s="1" t="s">
        <v>654</v>
      </c>
      <c r="C690" s="14" t="s">
        <v>581</v>
      </c>
      <c r="D690" s="8">
        <v>130</v>
      </c>
      <c r="E690" s="24">
        <f>5.532-0.563-2-1.2-1</f>
        <v>0.76900000000000035</v>
      </c>
    </row>
    <row r="691" spans="1:5" ht="30">
      <c r="A691" s="35" t="s">
        <v>629</v>
      </c>
      <c r="B691" s="1" t="s">
        <v>654</v>
      </c>
      <c r="C691" s="14" t="s">
        <v>581</v>
      </c>
      <c r="D691" s="8">
        <v>140</v>
      </c>
      <c r="E691" s="24">
        <f>4.028-1.3</f>
        <v>2.7279999999999998</v>
      </c>
    </row>
    <row r="692" spans="1:5" ht="30">
      <c r="A692" s="35" t="s">
        <v>629</v>
      </c>
      <c r="B692" s="1" t="s">
        <v>654</v>
      </c>
      <c r="C692" s="14" t="s">
        <v>581</v>
      </c>
      <c r="D692" s="8">
        <v>160</v>
      </c>
      <c r="E692" s="24">
        <f>0.844</f>
        <v>0.84399999999999997</v>
      </c>
    </row>
    <row r="693" spans="1:5" ht="30">
      <c r="A693" s="35" t="s">
        <v>629</v>
      </c>
      <c r="B693" s="1" t="s">
        <v>654</v>
      </c>
      <c r="C693" s="14" t="s">
        <v>581</v>
      </c>
      <c r="D693" s="8">
        <v>200</v>
      </c>
      <c r="E693" s="24">
        <f>6.874-1.239-1.4-1.4-1.4</f>
        <v>1.4349999999999996</v>
      </c>
    </row>
    <row r="694" spans="1:5" ht="30">
      <c r="A694" s="35" t="s">
        <v>629</v>
      </c>
      <c r="B694" s="1" t="s">
        <v>654</v>
      </c>
      <c r="C694" s="14" t="s">
        <v>581</v>
      </c>
      <c r="D694" s="8">
        <v>210</v>
      </c>
      <c r="E694" s="24">
        <f>6.792</f>
        <v>6.7919999999999998</v>
      </c>
    </row>
    <row r="695" spans="1:5" ht="30">
      <c r="A695" s="35" t="s">
        <v>629</v>
      </c>
      <c r="B695" s="1" t="s">
        <v>654</v>
      </c>
      <c r="C695" s="14" t="s">
        <v>581</v>
      </c>
      <c r="D695" s="8">
        <v>220</v>
      </c>
      <c r="E695" s="24">
        <f>1.414-0.3</f>
        <v>1.1139999999999999</v>
      </c>
    </row>
    <row r="696" spans="1:5" ht="30">
      <c r="A696" s="35" t="s">
        <v>629</v>
      </c>
      <c r="B696" s="1" t="s">
        <v>654</v>
      </c>
      <c r="C696" s="14" t="s">
        <v>581</v>
      </c>
      <c r="D696" s="8">
        <v>230</v>
      </c>
      <c r="E696" s="24">
        <f>4.736-3.298</f>
        <v>1.4379999999999997</v>
      </c>
    </row>
    <row r="697" spans="1:5" ht="30">
      <c r="A697" s="35" t="s">
        <v>629</v>
      </c>
      <c r="B697" s="1" t="s">
        <v>654</v>
      </c>
      <c r="C697" s="14" t="s">
        <v>581</v>
      </c>
      <c r="D697" s="8">
        <v>250</v>
      </c>
      <c r="E697" s="24">
        <f>3.204-1.604-0.39</f>
        <v>1.21</v>
      </c>
    </row>
    <row r="698" spans="1:5" ht="30">
      <c r="A698" s="35" t="s">
        <v>629</v>
      </c>
      <c r="B698" s="1" t="s">
        <v>654</v>
      </c>
      <c r="C698" s="14" t="s">
        <v>581</v>
      </c>
      <c r="D698" s="8">
        <v>250</v>
      </c>
      <c r="E698" s="24">
        <f>1.65</f>
        <v>1.65</v>
      </c>
    </row>
    <row r="699" spans="1:5" ht="30">
      <c r="A699" s="35" t="s">
        <v>629</v>
      </c>
      <c r="B699" s="1" t="s">
        <v>654</v>
      </c>
      <c r="C699" s="14" t="s">
        <v>581</v>
      </c>
      <c r="D699" s="8">
        <v>250</v>
      </c>
      <c r="E699" s="24">
        <f>4.502</f>
        <v>4.5019999999999998</v>
      </c>
    </row>
    <row r="700" spans="1:5" ht="30">
      <c r="A700" s="35" t="s">
        <v>629</v>
      </c>
      <c r="B700" s="1" t="s">
        <v>654</v>
      </c>
      <c r="C700" s="14" t="s">
        <v>581</v>
      </c>
      <c r="D700" s="8">
        <v>260</v>
      </c>
      <c r="E700" s="24">
        <f>1.334-0.63</f>
        <v>0.70400000000000007</v>
      </c>
    </row>
    <row r="701" spans="1:5" ht="30">
      <c r="A701" s="35" t="s">
        <v>629</v>
      </c>
      <c r="B701" s="1" t="s">
        <v>654</v>
      </c>
      <c r="C701" s="14" t="s">
        <v>581</v>
      </c>
      <c r="D701" s="8">
        <v>260</v>
      </c>
      <c r="E701" s="24">
        <f>5.754-1.7</f>
        <v>4.0539999999999994</v>
      </c>
    </row>
    <row r="702" spans="1:5" ht="30">
      <c r="A702" s="35" t="s">
        <v>629</v>
      </c>
      <c r="B702" s="1" t="s">
        <v>654</v>
      </c>
      <c r="C702" s="14" t="s">
        <v>581</v>
      </c>
      <c r="D702" s="8">
        <v>260</v>
      </c>
      <c r="E702" s="24">
        <f>8.562</f>
        <v>8.5619999999999994</v>
      </c>
    </row>
    <row r="703" spans="1:5" ht="30">
      <c r="A703" s="35" t="s">
        <v>629</v>
      </c>
      <c r="B703" s="1" t="s">
        <v>654</v>
      </c>
      <c r="C703" s="14" t="s">
        <v>581</v>
      </c>
      <c r="D703" s="8">
        <v>280</v>
      </c>
      <c r="E703" s="24">
        <f>2.134</f>
        <v>2.1339999999999999</v>
      </c>
    </row>
    <row r="704" spans="1:5" ht="30">
      <c r="A704" s="35" t="s">
        <v>629</v>
      </c>
      <c r="B704" s="1" t="s">
        <v>654</v>
      </c>
      <c r="C704" s="14" t="s">
        <v>581</v>
      </c>
      <c r="D704" s="8">
        <v>280</v>
      </c>
      <c r="E704" s="24">
        <f>2.936</f>
        <v>2.9359999999999999</v>
      </c>
    </row>
    <row r="705" spans="1:5" ht="30">
      <c r="A705" s="35" t="s">
        <v>629</v>
      </c>
      <c r="B705" s="1" t="s">
        <v>654</v>
      </c>
      <c r="C705" s="14" t="s">
        <v>581</v>
      </c>
      <c r="D705" s="8">
        <v>300</v>
      </c>
      <c r="E705" s="24">
        <f>2.482-1.688</f>
        <v>0.79400000000000026</v>
      </c>
    </row>
    <row r="706" spans="1:5" ht="30">
      <c r="A706" s="35" t="s">
        <v>629</v>
      </c>
      <c r="B706" s="1" t="s">
        <v>654</v>
      </c>
      <c r="C706" s="14" t="s">
        <v>581</v>
      </c>
      <c r="D706" s="8">
        <v>333</v>
      </c>
      <c r="E706" s="24">
        <f>12.086-2.989-2.158-1.818-0.15-1.918</f>
        <v>3.0530000000000017</v>
      </c>
    </row>
    <row r="707" spans="1:5" ht="30">
      <c r="A707" s="35" t="s">
        <v>629</v>
      </c>
      <c r="B707" s="1" t="s">
        <v>654</v>
      </c>
      <c r="C707" s="14" t="s">
        <v>581</v>
      </c>
      <c r="D707" s="8">
        <v>333</v>
      </c>
      <c r="E707" s="24">
        <f>4.794</f>
        <v>4.7939999999999996</v>
      </c>
    </row>
    <row r="708" spans="1:5" ht="30">
      <c r="A708" s="35" t="s">
        <v>629</v>
      </c>
      <c r="B708" s="1" t="s">
        <v>654</v>
      </c>
      <c r="C708" s="14" t="s">
        <v>581</v>
      </c>
      <c r="D708" s="8">
        <v>350</v>
      </c>
      <c r="E708" s="24">
        <f>3.678-1.23</f>
        <v>2.448</v>
      </c>
    </row>
    <row r="709" spans="1:5" ht="30">
      <c r="A709" s="35" t="s">
        <v>629</v>
      </c>
      <c r="B709" s="1" t="s">
        <v>654</v>
      </c>
      <c r="C709" s="14" t="s">
        <v>581</v>
      </c>
      <c r="D709" s="8">
        <v>400</v>
      </c>
      <c r="E709" s="24">
        <f>3.984</f>
        <v>3.984</v>
      </c>
    </row>
    <row r="710" spans="1:5" ht="30">
      <c r="A710" s="35" t="s">
        <v>629</v>
      </c>
      <c r="B710" s="1" t="s">
        <v>654</v>
      </c>
      <c r="C710" s="14" t="s">
        <v>581</v>
      </c>
      <c r="D710" s="8">
        <v>403</v>
      </c>
      <c r="E710" s="24">
        <f>4.021-3.524</f>
        <v>0.49699999999999989</v>
      </c>
    </row>
    <row r="711" spans="1:5" ht="30">
      <c r="A711" s="35" t="s">
        <v>629</v>
      </c>
      <c r="B711" s="1" t="s">
        <v>655</v>
      </c>
      <c r="C711" s="14" t="s">
        <v>581</v>
      </c>
      <c r="D711" s="8">
        <v>403</v>
      </c>
      <c r="E711" s="24">
        <f>3.747</f>
        <v>3.7469999999999999</v>
      </c>
    </row>
    <row r="712" spans="1:5" ht="30">
      <c r="A712" s="35" t="s">
        <v>629</v>
      </c>
      <c r="B712" s="1" t="s">
        <v>654</v>
      </c>
      <c r="C712" s="14" t="s">
        <v>581</v>
      </c>
      <c r="D712" s="8">
        <v>403</v>
      </c>
      <c r="E712" s="24">
        <f>4.037</f>
        <v>4.0369999999999999</v>
      </c>
    </row>
    <row r="713" spans="1:5" ht="30">
      <c r="A713" s="35" t="s">
        <v>629</v>
      </c>
      <c r="B713" s="1" t="s">
        <v>654</v>
      </c>
      <c r="C713" s="14" t="s">
        <v>581</v>
      </c>
      <c r="D713" s="8">
        <v>403</v>
      </c>
      <c r="E713" s="24">
        <f>4.16</f>
        <v>4.16</v>
      </c>
    </row>
    <row r="714" spans="1:5" ht="30">
      <c r="A714" s="35" t="s">
        <v>629</v>
      </c>
      <c r="B714" s="1" t="s">
        <v>654</v>
      </c>
      <c r="C714" s="14" t="s">
        <v>581</v>
      </c>
      <c r="D714" s="8">
        <v>483</v>
      </c>
      <c r="E714" s="24">
        <f>3.85-2.036</f>
        <v>1.8140000000000001</v>
      </c>
    </row>
    <row r="715" spans="1:5" ht="17">
      <c r="A715" s="35" t="s">
        <v>629</v>
      </c>
      <c r="B715" s="8" t="s">
        <v>654</v>
      </c>
      <c r="C715" s="14" t="s">
        <v>525</v>
      </c>
      <c r="D715" s="8" t="s">
        <v>619</v>
      </c>
      <c r="E715" s="24">
        <f>1.136</f>
        <v>1.1359999999999999</v>
      </c>
    </row>
    <row r="716" spans="1:5" ht="17">
      <c r="A716" s="35" t="s">
        <v>629</v>
      </c>
      <c r="B716" s="8" t="s">
        <v>654</v>
      </c>
      <c r="C716" s="14" t="s">
        <v>525</v>
      </c>
      <c r="D716" s="8" t="s">
        <v>576</v>
      </c>
      <c r="E716" s="24">
        <f>0.66-0.038-0.014-0.066</f>
        <v>0.54200000000000004</v>
      </c>
    </row>
    <row r="717" spans="1:5" ht="17">
      <c r="A717" s="35" t="s">
        <v>629</v>
      </c>
      <c r="B717" s="8" t="s">
        <v>654</v>
      </c>
      <c r="C717" s="14" t="s">
        <v>525</v>
      </c>
      <c r="D717" s="8" t="s">
        <v>576</v>
      </c>
      <c r="E717" s="24">
        <f>0.68</f>
        <v>0.68</v>
      </c>
    </row>
    <row r="718" spans="1:5" ht="17">
      <c r="A718" s="35" t="s">
        <v>629</v>
      </c>
      <c r="B718" s="8" t="s">
        <v>654</v>
      </c>
      <c r="C718" s="14" t="s">
        <v>525</v>
      </c>
      <c r="D718" s="8" t="s">
        <v>656</v>
      </c>
      <c r="E718" s="24">
        <f>0.491-0.014</f>
        <v>0.47699999999999998</v>
      </c>
    </row>
    <row r="719" spans="1:5" ht="17">
      <c r="A719" s="35" t="s">
        <v>629</v>
      </c>
      <c r="B719" s="1" t="s">
        <v>654</v>
      </c>
      <c r="C719" s="1" t="s">
        <v>657</v>
      </c>
      <c r="D719" s="8" t="s">
        <v>658</v>
      </c>
      <c r="E719" s="24">
        <v>0.25</v>
      </c>
    </row>
    <row r="720" spans="1:5" ht="17">
      <c r="A720" s="35" t="s">
        <v>629</v>
      </c>
      <c r="B720" s="8" t="s">
        <v>654</v>
      </c>
      <c r="C720" s="14" t="s">
        <v>525</v>
      </c>
      <c r="D720" s="8" t="s">
        <v>579</v>
      </c>
      <c r="E720" s="24">
        <f>0.61</f>
        <v>0.61</v>
      </c>
    </row>
    <row r="721" spans="1:5" ht="17">
      <c r="A721" s="35" t="s">
        <v>629</v>
      </c>
      <c r="B721" s="8" t="s">
        <v>654</v>
      </c>
      <c r="C721" s="14" t="s">
        <v>525</v>
      </c>
      <c r="D721" s="8" t="s">
        <v>659</v>
      </c>
      <c r="E721" s="24">
        <f>0.556-0.194</f>
        <v>0.36200000000000004</v>
      </c>
    </row>
    <row r="722" spans="1:5" ht="17">
      <c r="A722" s="35" t="s">
        <v>629</v>
      </c>
      <c r="B722" s="8" t="s">
        <v>654</v>
      </c>
      <c r="C722" s="14" t="s">
        <v>525</v>
      </c>
      <c r="D722" s="8" t="s">
        <v>660</v>
      </c>
      <c r="E722" s="24">
        <f>1.061</f>
        <v>1.0609999999999999</v>
      </c>
    </row>
    <row r="723" spans="1:5" ht="17">
      <c r="A723" s="35" t="s">
        <v>629</v>
      </c>
      <c r="B723" s="8" t="s">
        <v>654</v>
      </c>
      <c r="C723" s="8" t="s">
        <v>661</v>
      </c>
      <c r="D723" s="8" t="s">
        <v>582</v>
      </c>
      <c r="E723" s="24">
        <f>1.726-0.61</f>
        <v>1.1160000000000001</v>
      </c>
    </row>
    <row r="724" spans="1:5" ht="17">
      <c r="A724" s="35" t="s">
        <v>629</v>
      </c>
      <c r="B724" s="8" t="s">
        <v>654</v>
      </c>
      <c r="C724" s="8" t="s">
        <v>661</v>
      </c>
      <c r="D724" s="8" t="s">
        <v>526</v>
      </c>
      <c r="E724" s="24">
        <f>3.108-0.032-0.752</f>
        <v>2.3239999999999998</v>
      </c>
    </row>
    <row r="725" spans="1:5" ht="17">
      <c r="A725" s="35" t="s">
        <v>629</v>
      </c>
      <c r="B725" s="8" t="s">
        <v>654</v>
      </c>
      <c r="C725" s="8" t="s">
        <v>661</v>
      </c>
      <c r="D725" s="8" t="s">
        <v>526</v>
      </c>
      <c r="E725" s="24">
        <f>1.676</f>
        <v>1.6759999999999999</v>
      </c>
    </row>
    <row r="726" spans="1:5" ht="17">
      <c r="A726" s="35" t="s">
        <v>629</v>
      </c>
      <c r="B726" s="8" t="s">
        <v>654</v>
      </c>
      <c r="C726" s="8" t="s">
        <v>661</v>
      </c>
      <c r="D726" s="8" t="s">
        <v>526</v>
      </c>
      <c r="E726" s="24">
        <f>1.936</f>
        <v>1.9359999999999999</v>
      </c>
    </row>
    <row r="727" spans="1:5" ht="17">
      <c r="A727" s="35" t="s">
        <v>629</v>
      </c>
      <c r="B727" s="8" t="s">
        <v>654</v>
      </c>
      <c r="C727" s="8" t="s">
        <v>661</v>
      </c>
      <c r="D727" s="8" t="s">
        <v>586</v>
      </c>
      <c r="E727" s="24">
        <f>2.078</f>
        <v>2.0779999999999998</v>
      </c>
    </row>
    <row r="728" spans="1:5" ht="17">
      <c r="A728" s="35" t="s">
        <v>629</v>
      </c>
      <c r="B728" s="8" t="s">
        <v>654</v>
      </c>
      <c r="C728" s="8" t="s">
        <v>661</v>
      </c>
      <c r="D728" s="1" t="s">
        <v>534</v>
      </c>
      <c r="E728" s="25">
        <f>1.352-0.908-0.084</f>
        <v>0.36000000000000004</v>
      </c>
    </row>
    <row r="729" spans="1:5" ht="17">
      <c r="A729" s="35" t="s">
        <v>629</v>
      </c>
      <c r="B729" s="8" t="s">
        <v>654</v>
      </c>
      <c r="C729" s="8" t="s">
        <v>661</v>
      </c>
      <c r="D729" s="1" t="s">
        <v>544</v>
      </c>
      <c r="E729" s="25">
        <f>2.424-0.652-0.274-0.238-0.022-0.254</f>
        <v>0.98399999999999976</v>
      </c>
    </row>
    <row r="730" spans="1:5" ht="17">
      <c r="A730" s="35" t="s">
        <v>629</v>
      </c>
      <c r="B730" s="8" t="s">
        <v>654</v>
      </c>
      <c r="C730" s="8" t="s">
        <v>661</v>
      </c>
      <c r="D730" s="1" t="s">
        <v>662</v>
      </c>
      <c r="E730" s="25">
        <f>0.022</f>
        <v>2.1999999999999999E-2</v>
      </c>
    </row>
    <row r="731" spans="1:5" ht="17">
      <c r="A731" s="35" t="s">
        <v>629</v>
      </c>
      <c r="B731" s="8" t="s">
        <v>654</v>
      </c>
      <c r="C731" s="8" t="s">
        <v>661</v>
      </c>
      <c r="D731" s="1" t="s">
        <v>544</v>
      </c>
      <c r="E731" s="25">
        <f>1.684</f>
        <v>1.6839999999999999</v>
      </c>
    </row>
    <row r="732" spans="1:5" ht="17">
      <c r="A732" s="35" t="s">
        <v>629</v>
      </c>
      <c r="B732" s="8" t="s">
        <v>654</v>
      </c>
      <c r="C732" s="8" t="s">
        <v>661</v>
      </c>
      <c r="D732" s="1" t="s">
        <v>663</v>
      </c>
      <c r="E732" s="25">
        <f>2.63-0.448</f>
        <v>2.1819999999999999</v>
      </c>
    </row>
    <row r="733" spans="1:5" ht="17">
      <c r="A733" s="35" t="s">
        <v>629</v>
      </c>
      <c r="B733" s="8" t="s">
        <v>654</v>
      </c>
      <c r="C733" s="8" t="s">
        <v>664</v>
      </c>
      <c r="D733" s="1" t="s">
        <v>665</v>
      </c>
      <c r="E733" s="27">
        <f>0.665-0.172</f>
        <v>0.49300000000000005</v>
      </c>
    </row>
    <row r="734" spans="1:5" ht="17">
      <c r="A734" s="35" t="s">
        <v>629</v>
      </c>
      <c r="B734" s="8" t="s">
        <v>654</v>
      </c>
      <c r="C734" s="14" t="s">
        <v>525</v>
      </c>
      <c r="D734" s="1" t="s">
        <v>547</v>
      </c>
      <c r="E734" s="25">
        <f>3.634-0.538-0.042-0.79-0.704</f>
        <v>1.5600000000000003</v>
      </c>
    </row>
    <row r="735" spans="1:5" ht="17">
      <c r="A735" s="35" t="s">
        <v>629</v>
      </c>
      <c r="B735" s="8" t="s">
        <v>654</v>
      </c>
      <c r="C735" s="8" t="s">
        <v>661</v>
      </c>
      <c r="D735" s="1" t="s">
        <v>547</v>
      </c>
      <c r="E735" s="25">
        <f>1.668</f>
        <v>1.6679999999999999</v>
      </c>
    </row>
    <row r="736" spans="1:5" ht="17">
      <c r="A736" s="35" t="s">
        <v>629</v>
      </c>
      <c r="B736" s="8" t="s">
        <v>654</v>
      </c>
      <c r="C736" s="8" t="s">
        <v>661</v>
      </c>
      <c r="D736" s="1" t="s">
        <v>547</v>
      </c>
      <c r="E736" s="25">
        <f>1.598</f>
        <v>1.5980000000000001</v>
      </c>
    </row>
    <row r="737" spans="1:5" ht="17">
      <c r="A737" s="35" t="s">
        <v>629</v>
      </c>
      <c r="B737" s="8" t="s">
        <v>654</v>
      </c>
      <c r="C737" s="8" t="s">
        <v>661</v>
      </c>
      <c r="D737" s="1" t="s">
        <v>547</v>
      </c>
      <c r="E737" s="25">
        <f>1.64</f>
        <v>1.64</v>
      </c>
    </row>
    <row r="738" spans="1:5" ht="17">
      <c r="A738" s="35" t="s">
        <v>629</v>
      </c>
      <c r="B738" s="8" t="s">
        <v>654</v>
      </c>
      <c r="C738" s="14" t="s">
        <v>525</v>
      </c>
      <c r="D738" s="1" t="s">
        <v>666</v>
      </c>
      <c r="E738" s="25">
        <f>2.21-0.88-0.19-0.112-0.136-(0.008)</f>
        <v>0.88400000000000001</v>
      </c>
    </row>
    <row r="739" spans="1:5" ht="17">
      <c r="A739" s="35" t="s">
        <v>629</v>
      </c>
      <c r="B739" s="8" t="s">
        <v>654</v>
      </c>
      <c r="C739" s="14" t="s">
        <v>525</v>
      </c>
      <c r="D739" s="1" t="s">
        <v>667</v>
      </c>
      <c r="E739" s="25">
        <f>0.112</f>
        <v>0.112</v>
      </c>
    </row>
    <row r="740" spans="1:5" ht="17">
      <c r="A740" s="35" t="s">
        <v>629</v>
      </c>
      <c r="B740" s="8" t="s">
        <v>654</v>
      </c>
      <c r="C740" s="14" t="s">
        <v>525</v>
      </c>
      <c r="D740" s="1" t="s">
        <v>668</v>
      </c>
      <c r="E740" s="25">
        <f>0.136</f>
        <v>0.13600000000000001</v>
      </c>
    </row>
    <row r="741" spans="1:5" ht="17">
      <c r="A741" s="35" t="s">
        <v>629</v>
      </c>
      <c r="B741" s="8" t="s">
        <v>654</v>
      </c>
      <c r="C741" s="8" t="s">
        <v>661</v>
      </c>
      <c r="D741" s="1" t="s">
        <v>669</v>
      </c>
      <c r="E741" s="25">
        <f>2.3-0.338-0.09-0.242-0.452</f>
        <v>1.1779999999999997</v>
      </c>
    </row>
    <row r="742" spans="1:5" ht="17">
      <c r="A742" s="35" t="s">
        <v>629</v>
      </c>
      <c r="B742" s="8" t="s">
        <v>654</v>
      </c>
      <c r="C742" s="8" t="s">
        <v>661</v>
      </c>
      <c r="D742" s="1" t="s">
        <v>670</v>
      </c>
      <c r="E742" s="25">
        <f>2.176-0.134</f>
        <v>2.0420000000000003</v>
      </c>
    </row>
    <row r="743" spans="1:5" ht="17">
      <c r="A743" s="35" t="s">
        <v>629</v>
      </c>
      <c r="B743" s="8" t="s">
        <v>654</v>
      </c>
      <c r="C743" s="8" t="s">
        <v>661</v>
      </c>
      <c r="D743" s="1" t="s">
        <v>670</v>
      </c>
      <c r="E743" s="25">
        <f>2.09</f>
        <v>2.09</v>
      </c>
    </row>
    <row r="744" spans="1:5" ht="17">
      <c r="A744" s="35" t="s">
        <v>629</v>
      </c>
      <c r="B744" s="8" t="s">
        <v>654</v>
      </c>
      <c r="C744" s="8" t="s">
        <v>661</v>
      </c>
      <c r="D744" s="1" t="s">
        <v>671</v>
      </c>
      <c r="E744" s="27">
        <f>0.106</f>
        <v>0.106</v>
      </c>
    </row>
    <row r="745" spans="1:5" ht="17">
      <c r="A745" s="35" t="s">
        <v>629</v>
      </c>
      <c r="B745" s="8" t="s">
        <v>654</v>
      </c>
      <c r="C745" s="8" t="s">
        <v>661</v>
      </c>
      <c r="D745" s="1" t="s">
        <v>672</v>
      </c>
      <c r="E745" s="25">
        <f>2.72-0.226-0.338-0.042-0.038-0.228</f>
        <v>1.8480000000000005</v>
      </c>
    </row>
    <row r="746" spans="1:5" ht="17">
      <c r="A746" s="35" t="s">
        <v>629</v>
      </c>
      <c r="B746" s="8" t="s">
        <v>654</v>
      </c>
      <c r="C746" s="8" t="s">
        <v>661</v>
      </c>
      <c r="D746" s="1" t="s">
        <v>673</v>
      </c>
      <c r="E746" s="25">
        <f>0.042</f>
        <v>4.2000000000000003E-2</v>
      </c>
    </row>
    <row r="747" spans="1:5" ht="17">
      <c r="A747" s="35" t="s">
        <v>629</v>
      </c>
      <c r="B747" s="8" t="s">
        <v>654</v>
      </c>
      <c r="C747" s="8" t="s">
        <v>661</v>
      </c>
      <c r="D747" s="1" t="s">
        <v>674</v>
      </c>
      <c r="E747" s="25">
        <f>0.038</f>
        <v>3.7999999999999999E-2</v>
      </c>
    </row>
    <row r="748" spans="1:5" ht="17">
      <c r="A748" s="35" t="s">
        <v>629</v>
      </c>
      <c r="B748" s="8" t="s">
        <v>654</v>
      </c>
      <c r="C748" s="8" t="s">
        <v>661</v>
      </c>
      <c r="D748" s="1" t="s">
        <v>672</v>
      </c>
      <c r="E748" s="25">
        <f>2.626</f>
        <v>2.6259999999999999</v>
      </c>
    </row>
    <row r="749" spans="1:5" ht="17">
      <c r="A749" s="35" t="s">
        <v>629</v>
      </c>
      <c r="B749" s="8" t="s">
        <v>654</v>
      </c>
      <c r="C749" s="8" t="s">
        <v>661</v>
      </c>
      <c r="D749" s="1" t="s">
        <v>675</v>
      </c>
      <c r="E749" s="25">
        <f>2.604-0.486-0.09-0.25-0.086-0.356-0.546</f>
        <v>0.79000000000000026</v>
      </c>
    </row>
    <row r="750" spans="1:5" ht="17">
      <c r="A750" s="35" t="s">
        <v>629</v>
      </c>
      <c r="B750" s="8" t="s">
        <v>654</v>
      </c>
      <c r="C750" s="8" t="s">
        <v>661</v>
      </c>
      <c r="D750" s="1" t="s">
        <v>676</v>
      </c>
      <c r="E750" s="25">
        <f>0.09</f>
        <v>0.09</v>
      </c>
    </row>
    <row r="751" spans="1:5" ht="17">
      <c r="A751" s="35" t="s">
        <v>629</v>
      </c>
      <c r="B751" s="8" t="s">
        <v>654</v>
      </c>
      <c r="C751" s="8" t="s">
        <v>661</v>
      </c>
      <c r="D751" s="1" t="s">
        <v>677</v>
      </c>
      <c r="E751" s="25">
        <f>2.852-0.396-0.052-0.044</f>
        <v>2.36</v>
      </c>
    </row>
    <row r="752" spans="1:5" ht="17">
      <c r="A752" s="35" t="s">
        <v>629</v>
      </c>
      <c r="B752" s="8" t="s">
        <v>654</v>
      </c>
      <c r="C752" s="8" t="s">
        <v>661</v>
      </c>
      <c r="D752" s="1" t="s">
        <v>678</v>
      </c>
      <c r="E752" s="25">
        <f>0.052</f>
        <v>5.1999999999999998E-2</v>
      </c>
    </row>
    <row r="753" spans="1:5" ht="17">
      <c r="A753" s="35" t="s">
        <v>629</v>
      </c>
      <c r="B753" s="8" t="s">
        <v>654</v>
      </c>
      <c r="C753" s="8" t="s">
        <v>661</v>
      </c>
      <c r="D753" s="1" t="s">
        <v>679</v>
      </c>
      <c r="E753" s="25">
        <f>0.044</f>
        <v>4.3999999999999997E-2</v>
      </c>
    </row>
    <row r="754" spans="1:5" ht="17">
      <c r="A754" s="35" t="s">
        <v>629</v>
      </c>
      <c r="B754" s="8" t="s">
        <v>654</v>
      </c>
      <c r="C754" s="8" t="s">
        <v>661</v>
      </c>
      <c r="D754" s="1" t="s">
        <v>653</v>
      </c>
      <c r="E754" s="25">
        <f>3.322</f>
        <v>3.3220000000000001</v>
      </c>
    </row>
    <row r="755" spans="1:5" ht="17">
      <c r="A755" s="35" t="s">
        <v>629</v>
      </c>
      <c r="B755" s="8" t="s">
        <v>654</v>
      </c>
      <c r="C755" s="8" t="s">
        <v>661</v>
      </c>
      <c r="D755" s="1" t="s">
        <v>680</v>
      </c>
      <c r="E755" s="25">
        <f>3.772</f>
        <v>3.7719999999999998</v>
      </c>
    </row>
    <row r="756" spans="1:5" ht="17">
      <c r="A756" s="35" t="s">
        <v>629</v>
      </c>
      <c r="B756" s="10" t="s">
        <v>681</v>
      </c>
      <c r="C756" s="8" t="s">
        <v>661</v>
      </c>
      <c r="D756" s="21">
        <v>262</v>
      </c>
      <c r="E756" s="24">
        <f>1.833-1.716</f>
        <v>0.11699999999999999</v>
      </c>
    </row>
    <row r="757" spans="1:5" ht="17">
      <c r="A757" s="35" t="s">
        <v>629</v>
      </c>
      <c r="B757" s="1" t="s">
        <v>681</v>
      </c>
      <c r="C757" s="8" t="s">
        <v>661</v>
      </c>
      <c r="D757" s="8">
        <v>270</v>
      </c>
      <c r="E757" s="24">
        <f>2.425</f>
        <v>2.4249999999999998</v>
      </c>
    </row>
    <row r="758" spans="1:5" ht="17">
      <c r="A758" s="35" t="s">
        <v>629</v>
      </c>
      <c r="B758" s="10" t="s">
        <v>681</v>
      </c>
      <c r="C758" s="8" t="s">
        <v>661</v>
      </c>
      <c r="D758" s="21">
        <v>272</v>
      </c>
      <c r="E758" s="24">
        <f>4.826-1.55</f>
        <v>3.2759999999999998</v>
      </c>
    </row>
    <row r="759" spans="1:5" ht="17">
      <c r="A759" s="35" t="s">
        <v>629</v>
      </c>
      <c r="B759" s="1" t="s">
        <v>681</v>
      </c>
      <c r="C759" s="8" t="s">
        <v>661</v>
      </c>
      <c r="D759" s="8">
        <v>292</v>
      </c>
      <c r="E759" s="24">
        <f>2.085-1.344</f>
        <v>0.74099999999999988</v>
      </c>
    </row>
    <row r="760" spans="1:5" ht="17">
      <c r="A760" s="35" t="s">
        <v>629</v>
      </c>
      <c r="B760" s="1" t="s">
        <v>681</v>
      </c>
      <c r="C760" s="8" t="s">
        <v>661</v>
      </c>
      <c r="D760" s="8">
        <v>333</v>
      </c>
      <c r="E760" s="24">
        <f>4.682-0.516</f>
        <v>4.1660000000000004</v>
      </c>
    </row>
    <row r="761" spans="1:5" ht="17">
      <c r="A761" s="35" t="s">
        <v>629</v>
      </c>
      <c r="B761" s="1" t="s">
        <v>681</v>
      </c>
      <c r="C761" s="8" t="s">
        <v>661</v>
      </c>
      <c r="D761" s="8">
        <v>403</v>
      </c>
      <c r="E761" s="24">
        <v>3.8029999999999999</v>
      </c>
    </row>
    <row r="762" spans="1:5" ht="17">
      <c r="A762" s="35" t="s">
        <v>629</v>
      </c>
      <c r="B762" s="10" t="s">
        <v>681</v>
      </c>
      <c r="C762" s="8" t="s">
        <v>661</v>
      </c>
      <c r="D762" s="21">
        <v>453</v>
      </c>
      <c r="E762" s="24">
        <f>2.349</f>
        <v>2.3490000000000002</v>
      </c>
    </row>
    <row r="763" spans="1:5" ht="17">
      <c r="A763" s="35" t="s">
        <v>629</v>
      </c>
      <c r="B763" s="1" t="s">
        <v>681</v>
      </c>
      <c r="C763" s="14" t="s">
        <v>525</v>
      </c>
      <c r="D763" s="8" t="s">
        <v>579</v>
      </c>
      <c r="E763" s="24">
        <f>2.683</f>
        <v>2.6829999999999998</v>
      </c>
    </row>
    <row r="764" spans="1:5" ht="17">
      <c r="A764" s="35" t="s">
        <v>629</v>
      </c>
      <c r="B764" s="1" t="s">
        <v>681</v>
      </c>
      <c r="C764" s="8" t="s">
        <v>661</v>
      </c>
      <c r="D764" s="8" t="s">
        <v>582</v>
      </c>
      <c r="E764" s="24">
        <f>1.382</f>
        <v>1.3819999999999999</v>
      </c>
    </row>
    <row r="765" spans="1:5" ht="17">
      <c r="A765" s="35" t="s">
        <v>629</v>
      </c>
      <c r="B765" s="1" t="s">
        <v>681</v>
      </c>
      <c r="C765" s="8" t="s">
        <v>661</v>
      </c>
      <c r="D765" s="8" t="s">
        <v>682</v>
      </c>
      <c r="E765" s="24">
        <f>5.238-4.5</f>
        <v>0.73800000000000043</v>
      </c>
    </row>
    <row r="766" spans="1:5" ht="30">
      <c r="A766" s="35" t="s">
        <v>629</v>
      </c>
      <c r="B766" s="1" t="s">
        <v>683</v>
      </c>
      <c r="C766" s="1" t="s">
        <v>649</v>
      </c>
      <c r="D766" s="8">
        <v>50</v>
      </c>
      <c r="E766" s="24">
        <f>2.375+2.115-0.304-0.066-1-0.945-0.06-0.775-0.067-0.061-0.069-0.064-0.456-0.016-0.064</f>
        <v>0.54300000000000037</v>
      </c>
    </row>
    <row r="767" spans="1:5" ht="30">
      <c r="A767" s="35" t="s">
        <v>629</v>
      </c>
      <c r="B767" s="1" t="s">
        <v>684</v>
      </c>
      <c r="C767" s="14" t="s">
        <v>581</v>
      </c>
      <c r="D767" s="8">
        <v>220</v>
      </c>
      <c r="E767" s="24">
        <f>5.57-2.748-2</f>
        <v>0.82200000000000006</v>
      </c>
    </row>
    <row r="768" spans="1:5" ht="30">
      <c r="A768" s="35" t="s">
        <v>629</v>
      </c>
      <c r="B768" s="1" t="s">
        <v>685</v>
      </c>
      <c r="C768" s="14" t="s">
        <v>581</v>
      </c>
      <c r="D768" s="8">
        <v>260</v>
      </c>
      <c r="E768" s="24">
        <f>1.784-1.04</f>
        <v>0.74399999999999999</v>
      </c>
    </row>
    <row r="769" spans="1:5" ht="30">
      <c r="A769" s="35" t="s">
        <v>629</v>
      </c>
      <c r="B769" s="1" t="s">
        <v>685</v>
      </c>
      <c r="C769" s="14" t="s">
        <v>581</v>
      </c>
      <c r="D769" s="8" t="s">
        <v>534</v>
      </c>
      <c r="E769" s="24">
        <f>2.646-0.69-0.236-1.048-0.43</f>
        <v>0.24199999999999994</v>
      </c>
    </row>
    <row r="770" spans="1:5" ht="30">
      <c r="A770" s="35" t="s">
        <v>629</v>
      </c>
      <c r="B770" s="1" t="s">
        <v>685</v>
      </c>
      <c r="C770" s="14" t="s">
        <v>581</v>
      </c>
      <c r="D770" s="8" t="s">
        <v>686</v>
      </c>
      <c r="E770" s="24">
        <f>6.388-1.244</f>
        <v>5.1440000000000001</v>
      </c>
    </row>
    <row r="771" spans="1:5" ht="30">
      <c r="A771" s="35" t="s">
        <v>629</v>
      </c>
      <c r="B771" s="1" t="s">
        <v>685</v>
      </c>
      <c r="C771" s="14" t="s">
        <v>581</v>
      </c>
      <c r="D771" s="8" t="s">
        <v>687</v>
      </c>
      <c r="E771" s="24">
        <f>1.038-0.44-0.492-(0.028)</f>
        <v>7.8000000000000097E-2</v>
      </c>
    </row>
    <row r="772" spans="1:5" ht="30">
      <c r="A772" s="35" t="s">
        <v>629</v>
      </c>
      <c r="B772" s="1" t="s">
        <v>685</v>
      </c>
      <c r="C772" s="14" t="s">
        <v>581</v>
      </c>
      <c r="D772" s="8" t="s">
        <v>686</v>
      </c>
      <c r="E772" s="24">
        <f>1.808-1.002-0.462</f>
        <v>0.34400000000000003</v>
      </c>
    </row>
    <row r="773" spans="1:5" ht="30">
      <c r="A773" s="35" t="s">
        <v>629</v>
      </c>
      <c r="B773" s="1" t="s">
        <v>595</v>
      </c>
      <c r="C773" s="14" t="s">
        <v>570</v>
      </c>
      <c r="D773" s="8">
        <v>30</v>
      </c>
      <c r="E773" s="24">
        <f>0.255-0.021-0.022</f>
        <v>0.21200000000000002</v>
      </c>
    </row>
    <row r="774" spans="1:5" ht="17">
      <c r="A774" s="35" t="s">
        <v>629</v>
      </c>
      <c r="B774" s="1" t="s">
        <v>595</v>
      </c>
      <c r="C774" s="14" t="s">
        <v>525</v>
      </c>
      <c r="D774" s="8" t="s">
        <v>571</v>
      </c>
      <c r="E774" s="24">
        <f>3.858</f>
        <v>3.8580000000000001</v>
      </c>
    </row>
    <row r="775" spans="1:5" ht="17">
      <c r="A775" s="35" t="s">
        <v>629</v>
      </c>
      <c r="B775" s="1" t="s">
        <v>595</v>
      </c>
      <c r="C775" s="14" t="s">
        <v>525</v>
      </c>
      <c r="D775" s="8" t="s">
        <v>618</v>
      </c>
      <c r="E775" s="24">
        <f>1.278</f>
        <v>1.278</v>
      </c>
    </row>
    <row r="776" spans="1:5" ht="17">
      <c r="A776" s="35" t="s">
        <v>629</v>
      </c>
      <c r="B776" s="1" t="s">
        <v>595</v>
      </c>
      <c r="C776" s="14" t="s">
        <v>525</v>
      </c>
      <c r="D776" s="8" t="s">
        <v>574</v>
      </c>
      <c r="E776" s="24">
        <f>1.74-0.022-0.016-0.198-0.024-0.022-0.042-0.046-0.066-0.06-0.256-0.03-0.036-0.136-0.136-0.224-0.052-0.088-0.118-0.018</f>
        <v>0.14999999999999972</v>
      </c>
    </row>
    <row r="777" spans="1:5" ht="17">
      <c r="A777" s="35" t="s">
        <v>629</v>
      </c>
      <c r="B777" s="1" t="s">
        <v>595</v>
      </c>
      <c r="C777" s="14" t="s">
        <v>525</v>
      </c>
      <c r="D777" s="8" t="s">
        <v>574</v>
      </c>
      <c r="E777" s="24">
        <f>1.596</f>
        <v>1.5960000000000001</v>
      </c>
    </row>
    <row r="778" spans="1:5" ht="17">
      <c r="A778" s="35" t="s">
        <v>629</v>
      </c>
      <c r="B778" s="1" t="s">
        <v>595</v>
      </c>
      <c r="C778" s="14" t="s">
        <v>525</v>
      </c>
      <c r="D778" s="8" t="s">
        <v>688</v>
      </c>
      <c r="E778" s="24">
        <f>2.174-0.058-0.007-0.12-0.019-0.03-1.854</f>
        <v>8.5999999999999854E-2</v>
      </c>
    </row>
    <row r="779" spans="1:5" ht="17">
      <c r="A779" s="35" t="s">
        <v>629</v>
      </c>
      <c r="B779" s="1" t="s">
        <v>595</v>
      </c>
      <c r="C779" s="14" t="s">
        <v>525</v>
      </c>
      <c r="D779" s="8" t="s">
        <v>619</v>
      </c>
      <c r="E779" s="24">
        <f>0.826</f>
        <v>0.82599999999999996</v>
      </c>
    </row>
    <row r="780" spans="1:5" ht="17">
      <c r="A780" s="35" t="s">
        <v>629</v>
      </c>
      <c r="B780" s="1" t="s">
        <v>595</v>
      </c>
      <c r="C780" s="14" t="s">
        <v>525</v>
      </c>
      <c r="D780" s="8" t="s">
        <v>576</v>
      </c>
      <c r="E780" s="24">
        <f>0.986</f>
        <v>0.98599999999999999</v>
      </c>
    </row>
    <row r="781" spans="1:5" ht="17">
      <c r="A781" s="35" t="s">
        <v>629</v>
      </c>
      <c r="B781" s="1" t="s">
        <v>595</v>
      </c>
      <c r="C781" s="14" t="s">
        <v>525</v>
      </c>
      <c r="D781" s="8" t="s">
        <v>579</v>
      </c>
      <c r="E781" s="24">
        <f>2.258</f>
        <v>2.258</v>
      </c>
    </row>
    <row r="782" spans="1:5" ht="17">
      <c r="A782" s="35" t="s">
        <v>629</v>
      </c>
      <c r="B782" s="1" t="s">
        <v>595</v>
      </c>
      <c r="C782" s="14" t="s">
        <v>525</v>
      </c>
      <c r="D782" s="8" t="s">
        <v>689</v>
      </c>
      <c r="E782" s="24">
        <f>0.876-0.548-0.208-0.011-0.096-(0.003)</f>
        <v>9.9999999999999707E-3</v>
      </c>
    </row>
    <row r="783" spans="1:5" ht="30">
      <c r="A783" s="35" t="s">
        <v>629</v>
      </c>
      <c r="B783" s="1" t="s">
        <v>595</v>
      </c>
      <c r="C783" s="14" t="s">
        <v>581</v>
      </c>
      <c r="D783" s="8" t="s">
        <v>660</v>
      </c>
      <c r="E783" s="24">
        <f>2.142-0.236-0.073</f>
        <v>1.833</v>
      </c>
    </row>
    <row r="784" spans="1:5" ht="30">
      <c r="A784" s="35" t="s">
        <v>629</v>
      </c>
      <c r="B784" s="1" t="s">
        <v>595</v>
      </c>
      <c r="C784" s="14" t="s">
        <v>581</v>
      </c>
      <c r="D784" s="8" t="s">
        <v>690</v>
      </c>
      <c r="E784" s="24">
        <f>4.956-2.1-1.258-0.094-0.346-0.202-0.78</f>
        <v>0.17600000000000038</v>
      </c>
    </row>
    <row r="785" spans="1:5" ht="30">
      <c r="A785" s="35" t="s">
        <v>629</v>
      </c>
      <c r="B785" s="1" t="s">
        <v>595</v>
      </c>
      <c r="C785" s="14" t="s">
        <v>581</v>
      </c>
      <c r="D785" s="8" t="s">
        <v>690</v>
      </c>
      <c r="E785" s="24">
        <f>2.218-0.676</f>
        <v>1.5419999999999998</v>
      </c>
    </row>
    <row r="786" spans="1:5" ht="30">
      <c r="A786" s="35" t="s">
        <v>629</v>
      </c>
      <c r="B786" s="1" t="s">
        <v>595</v>
      </c>
      <c r="C786" s="14" t="s">
        <v>581</v>
      </c>
      <c r="D786" s="8" t="s">
        <v>690</v>
      </c>
      <c r="E786" s="24">
        <f>4.788-0.192-2.197</f>
        <v>2.399</v>
      </c>
    </row>
    <row r="787" spans="1:5" ht="30">
      <c r="A787" s="35" t="s">
        <v>629</v>
      </c>
      <c r="B787" s="1" t="s">
        <v>595</v>
      </c>
      <c r="C787" s="14" t="s">
        <v>581</v>
      </c>
      <c r="D787" s="8" t="s">
        <v>582</v>
      </c>
      <c r="E787" s="24">
        <f>0.89-0.49</f>
        <v>0.4</v>
      </c>
    </row>
    <row r="788" spans="1:5" ht="30">
      <c r="A788" s="35" t="s">
        <v>629</v>
      </c>
      <c r="B788" s="1" t="s">
        <v>595</v>
      </c>
      <c r="C788" s="14" t="s">
        <v>581</v>
      </c>
      <c r="D788" s="8" t="s">
        <v>582</v>
      </c>
      <c r="E788" s="24">
        <f>4.1-0.466</f>
        <v>3.6339999999999995</v>
      </c>
    </row>
    <row r="789" spans="1:5" ht="17">
      <c r="A789" s="35" t="s">
        <v>629</v>
      </c>
      <c r="B789" s="1" t="s">
        <v>595</v>
      </c>
      <c r="C789" s="14" t="s">
        <v>525</v>
      </c>
      <c r="D789" s="8" t="s">
        <v>691</v>
      </c>
      <c r="E789" s="24">
        <f>1.558-0.552-0.12-0.198-0.524</f>
        <v>0.16399999999999992</v>
      </c>
    </row>
    <row r="790" spans="1:5" ht="17">
      <c r="A790" s="35" t="s">
        <v>629</v>
      </c>
      <c r="B790" s="1" t="s">
        <v>595</v>
      </c>
      <c r="C790" s="14" t="s">
        <v>525</v>
      </c>
      <c r="D790" s="8" t="s">
        <v>692</v>
      </c>
      <c r="E790" s="24">
        <f>0.335-0.073</f>
        <v>0.26200000000000001</v>
      </c>
    </row>
    <row r="791" spans="1:5" ht="17">
      <c r="A791" s="35" t="s">
        <v>629</v>
      </c>
      <c r="B791" s="1" t="s">
        <v>595</v>
      </c>
      <c r="C791" s="14" t="s">
        <v>525</v>
      </c>
      <c r="D791" s="8" t="s">
        <v>691</v>
      </c>
      <c r="E791" s="24">
        <f>1.722-0.156-0.054-0.05-0.226-0.248-0.362-0.246</f>
        <v>0.38</v>
      </c>
    </row>
    <row r="792" spans="1:5" ht="17">
      <c r="A792" s="35" t="s">
        <v>629</v>
      </c>
      <c r="B792" s="1" t="s">
        <v>595</v>
      </c>
      <c r="C792" s="14" t="s">
        <v>525</v>
      </c>
      <c r="D792" s="8" t="s">
        <v>526</v>
      </c>
      <c r="E792" s="24">
        <f>6.384-2.258-0.334-1.816-0.516-0.576-0.252-0.228-0.08-0.14-0.048-0.021-0.013-(0.057)</f>
        <v>4.5000000000000227E-2</v>
      </c>
    </row>
    <row r="793" spans="1:5" ht="17">
      <c r="A793" s="35" t="s">
        <v>629</v>
      </c>
      <c r="B793" s="1" t="s">
        <v>595</v>
      </c>
      <c r="C793" s="14" t="s">
        <v>525</v>
      </c>
      <c r="D793" s="8" t="s">
        <v>693</v>
      </c>
      <c r="E793" s="24">
        <f>0.013</f>
        <v>1.2999999999999999E-2</v>
      </c>
    </row>
    <row r="794" spans="1:5" ht="17">
      <c r="A794" s="35" t="s">
        <v>629</v>
      </c>
      <c r="B794" s="1" t="s">
        <v>595</v>
      </c>
      <c r="C794" s="14" t="s">
        <v>525</v>
      </c>
      <c r="D794" s="8" t="s">
        <v>694</v>
      </c>
      <c r="E794" s="24">
        <f>0.376-0.098-0.12-0.076</f>
        <v>8.2000000000000031E-2</v>
      </c>
    </row>
    <row r="795" spans="1:5" ht="17">
      <c r="A795" s="35" t="s">
        <v>629</v>
      </c>
      <c r="B795" s="1" t="s">
        <v>595</v>
      </c>
      <c r="C795" s="14" t="s">
        <v>525</v>
      </c>
      <c r="D795" s="8" t="s">
        <v>695</v>
      </c>
      <c r="E795" s="24">
        <f>0.12</f>
        <v>0.12</v>
      </c>
    </row>
    <row r="796" spans="1:5" ht="17">
      <c r="A796" s="35" t="s">
        <v>629</v>
      </c>
      <c r="B796" s="1" t="s">
        <v>595</v>
      </c>
      <c r="C796" s="14" t="s">
        <v>525</v>
      </c>
      <c r="D796" s="8" t="s">
        <v>696</v>
      </c>
      <c r="E796" s="24">
        <f>0.007</f>
        <v>7.0000000000000001E-3</v>
      </c>
    </row>
    <row r="797" spans="1:5" ht="17">
      <c r="A797" s="35" t="s">
        <v>629</v>
      </c>
      <c r="B797" s="1" t="s">
        <v>595</v>
      </c>
      <c r="C797" s="14" t="s">
        <v>525</v>
      </c>
      <c r="D797" s="8" t="s">
        <v>697</v>
      </c>
      <c r="E797" s="24">
        <f>0.061</f>
        <v>6.0999999999999999E-2</v>
      </c>
    </row>
    <row r="798" spans="1:5" ht="30">
      <c r="A798" s="35" t="s">
        <v>629</v>
      </c>
      <c r="B798" s="1" t="s">
        <v>595</v>
      </c>
      <c r="C798" s="14" t="s">
        <v>581</v>
      </c>
      <c r="D798" s="8" t="s">
        <v>526</v>
      </c>
      <c r="E798" s="24">
        <f>2.95-1.475</f>
        <v>1.4750000000000001</v>
      </c>
    </row>
    <row r="799" spans="1:5" ht="30">
      <c r="A799" s="35" t="s">
        <v>629</v>
      </c>
      <c r="B799" s="1" t="s">
        <v>595</v>
      </c>
      <c r="C799" s="14" t="s">
        <v>581</v>
      </c>
      <c r="D799" s="8" t="s">
        <v>698</v>
      </c>
      <c r="E799" s="24">
        <f>1.886</f>
        <v>1.8859999999999999</v>
      </c>
    </row>
    <row r="800" spans="1:5" ht="30">
      <c r="A800" s="35" t="s">
        <v>629</v>
      </c>
      <c r="B800" s="1" t="s">
        <v>595</v>
      </c>
      <c r="C800" s="14" t="s">
        <v>581</v>
      </c>
      <c r="D800" s="8" t="s">
        <v>586</v>
      </c>
      <c r="E800" s="24">
        <f>2.166</f>
        <v>2.1659999999999999</v>
      </c>
    </row>
    <row r="801" spans="1:5" ht="17">
      <c r="A801" s="35" t="s">
        <v>629</v>
      </c>
      <c r="B801" s="1" t="s">
        <v>595</v>
      </c>
      <c r="C801" s="14" t="s">
        <v>525</v>
      </c>
      <c r="D801" s="8" t="s">
        <v>699</v>
      </c>
      <c r="E801" s="24">
        <f>0.184</f>
        <v>0.184</v>
      </c>
    </row>
    <row r="802" spans="1:5" ht="30">
      <c r="A802" s="35" t="s">
        <v>629</v>
      </c>
      <c r="B802" s="1" t="s">
        <v>595</v>
      </c>
      <c r="C802" s="14" t="s">
        <v>581</v>
      </c>
      <c r="D802" s="8" t="s">
        <v>534</v>
      </c>
      <c r="E802" s="24">
        <f>6.896-5.51-0.594-0.146</f>
        <v>0.64600000000000013</v>
      </c>
    </row>
    <row r="803" spans="1:5" ht="17">
      <c r="A803" s="35" t="s">
        <v>629</v>
      </c>
      <c r="B803" s="1" t="s">
        <v>595</v>
      </c>
      <c r="C803" s="14" t="s">
        <v>525</v>
      </c>
      <c r="D803" s="8" t="s">
        <v>700</v>
      </c>
      <c r="E803" s="24">
        <f>0.094</f>
        <v>9.4E-2</v>
      </c>
    </row>
    <row r="804" spans="1:5" ht="30">
      <c r="A804" s="35" t="s">
        <v>629</v>
      </c>
      <c r="B804" s="1" t="s">
        <v>595</v>
      </c>
      <c r="C804" s="14" t="s">
        <v>581</v>
      </c>
      <c r="D804" s="8" t="s">
        <v>544</v>
      </c>
      <c r="E804" s="24">
        <f>3.5</f>
        <v>3.5</v>
      </c>
    </row>
    <row r="805" spans="1:5" ht="17">
      <c r="A805" s="35" t="s">
        <v>629</v>
      </c>
      <c r="B805" s="1" t="s">
        <v>595</v>
      </c>
      <c r="C805" s="14" t="s">
        <v>701</v>
      </c>
      <c r="D805" s="8" t="s">
        <v>663</v>
      </c>
      <c r="E805" s="24">
        <f>2.269-0.528-1.174-0.186-0.147</f>
        <v>0.23400000000000018</v>
      </c>
    </row>
    <row r="806" spans="1:5" ht="30">
      <c r="A806" s="35" t="s">
        <v>629</v>
      </c>
      <c r="B806" s="1" t="s">
        <v>595</v>
      </c>
      <c r="C806" s="14" t="s">
        <v>581</v>
      </c>
      <c r="D806" s="8" t="s">
        <v>663</v>
      </c>
      <c r="E806" s="24">
        <f>1.868-0.546</f>
        <v>1.3220000000000001</v>
      </c>
    </row>
    <row r="807" spans="1:5" ht="30">
      <c r="A807" s="35" t="s">
        <v>629</v>
      </c>
      <c r="B807" s="1" t="s">
        <v>595</v>
      </c>
      <c r="C807" s="14" t="s">
        <v>581</v>
      </c>
      <c r="D807" s="8" t="s">
        <v>663</v>
      </c>
      <c r="E807" s="24">
        <f>1.814</f>
        <v>1.8140000000000001</v>
      </c>
    </row>
    <row r="808" spans="1:5" ht="17">
      <c r="A808" s="35" t="s">
        <v>629</v>
      </c>
      <c r="B808" s="1" t="s">
        <v>595</v>
      </c>
      <c r="C808" s="14" t="s">
        <v>701</v>
      </c>
      <c r="D808" s="8" t="s">
        <v>547</v>
      </c>
      <c r="E808" s="24">
        <f>4.529-2.268-1.748</f>
        <v>0.51300000000000012</v>
      </c>
    </row>
    <row r="809" spans="1:5" ht="30">
      <c r="A809" s="35" t="s">
        <v>629</v>
      </c>
      <c r="B809" s="1" t="s">
        <v>595</v>
      </c>
      <c r="C809" s="14" t="s">
        <v>581</v>
      </c>
      <c r="D809" s="8" t="s">
        <v>547</v>
      </c>
      <c r="E809" s="24">
        <f>7.194-2.436</f>
        <v>4.758</v>
      </c>
    </row>
    <row r="810" spans="1:5" ht="17">
      <c r="A810" s="35" t="s">
        <v>629</v>
      </c>
      <c r="B810" s="1" t="s">
        <v>564</v>
      </c>
      <c r="C810" s="14" t="s">
        <v>702</v>
      </c>
      <c r="D810" s="8">
        <v>14</v>
      </c>
      <c r="E810" s="24">
        <f>0.016</f>
        <v>1.6E-2</v>
      </c>
    </row>
    <row r="811" spans="1:5" ht="17">
      <c r="A811" s="35" t="s">
        <v>629</v>
      </c>
      <c r="B811" s="1" t="s">
        <v>564</v>
      </c>
      <c r="C811" s="14" t="s">
        <v>702</v>
      </c>
      <c r="D811" s="8">
        <v>16</v>
      </c>
      <c r="E811" s="24">
        <f>1.168-0.06</f>
        <v>1.1079999999999999</v>
      </c>
    </row>
    <row r="812" spans="1:5" ht="17">
      <c r="A812" s="35" t="s">
        <v>629</v>
      </c>
      <c r="B812" s="1" t="s">
        <v>564</v>
      </c>
      <c r="C812" s="14" t="s">
        <v>702</v>
      </c>
      <c r="D812" s="8">
        <v>25</v>
      </c>
      <c r="E812" s="24">
        <f>1.204-0.024-0.184-0.05-0.1-0.3-0.06</f>
        <v>0.48600000000000004</v>
      </c>
    </row>
    <row r="813" spans="1:5" ht="17">
      <c r="A813" s="35" t="s">
        <v>629</v>
      </c>
      <c r="B813" s="1" t="s">
        <v>564</v>
      </c>
      <c r="C813" s="14" t="s">
        <v>703</v>
      </c>
      <c r="D813" s="8">
        <v>30</v>
      </c>
      <c r="E813" s="24">
        <f>1.13-0.089-0.031-0.29-0.03-0.2</f>
        <v>0.48999999999999994</v>
      </c>
    </row>
    <row r="814" spans="1:5" ht="17">
      <c r="A814" s="35" t="s">
        <v>629</v>
      </c>
      <c r="B814" s="1" t="s">
        <v>564</v>
      </c>
      <c r="C814" s="14" t="s">
        <v>703</v>
      </c>
      <c r="D814" s="8">
        <v>65</v>
      </c>
      <c r="E814" s="24">
        <f>1.164-0.111</f>
        <v>1.0529999999999999</v>
      </c>
    </row>
    <row r="815" spans="1:5" ht="30">
      <c r="A815" s="35" t="s">
        <v>629</v>
      </c>
      <c r="B815" s="1" t="s">
        <v>564</v>
      </c>
      <c r="C815" s="14" t="s">
        <v>581</v>
      </c>
      <c r="D815" s="14">
        <v>80</v>
      </c>
      <c r="E815" s="23">
        <f>1.238-0.038</f>
        <v>1.2</v>
      </c>
    </row>
    <row r="816" spans="1:5" ht="30">
      <c r="A816" s="35" t="s">
        <v>629</v>
      </c>
      <c r="B816" s="1" t="s">
        <v>564</v>
      </c>
      <c r="C816" s="14" t="s">
        <v>581</v>
      </c>
      <c r="D816" s="14">
        <v>90</v>
      </c>
      <c r="E816" s="23">
        <f>1.654-0.605-(0.02)</f>
        <v>1.0289999999999999</v>
      </c>
    </row>
    <row r="817" spans="1:5" ht="30">
      <c r="A817" s="35" t="s">
        <v>629</v>
      </c>
      <c r="B817" s="1" t="s">
        <v>564</v>
      </c>
      <c r="C817" s="14" t="s">
        <v>581</v>
      </c>
      <c r="D817" s="8">
        <v>130</v>
      </c>
      <c r="E817" s="24">
        <f>1.006-0.5</f>
        <v>0.50600000000000001</v>
      </c>
    </row>
    <row r="818" spans="1:5" ht="30">
      <c r="A818" s="35" t="s">
        <v>629</v>
      </c>
      <c r="B818" s="1" t="s">
        <v>564</v>
      </c>
      <c r="C818" s="14" t="s">
        <v>581</v>
      </c>
      <c r="D818" s="8">
        <v>140</v>
      </c>
      <c r="E818" s="24">
        <f>1.276</f>
        <v>1.276</v>
      </c>
    </row>
    <row r="819" spans="1:5" ht="30">
      <c r="A819" s="35" t="s">
        <v>629</v>
      </c>
      <c r="B819" s="1" t="s">
        <v>564</v>
      </c>
      <c r="C819" s="14" t="s">
        <v>581</v>
      </c>
      <c r="D819" s="8">
        <v>150</v>
      </c>
      <c r="E819" s="24">
        <f>1.606-0.502-0.432-0.3</f>
        <v>0.37200000000000016</v>
      </c>
    </row>
    <row r="820" spans="1:5" ht="30">
      <c r="A820" s="35" t="s">
        <v>629</v>
      </c>
      <c r="B820" s="1" t="s">
        <v>564</v>
      </c>
      <c r="C820" s="14" t="s">
        <v>581</v>
      </c>
      <c r="D820" s="8">
        <v>160</v>
      </c>
      <c r="E820" s="24">
        <f>1.728</f>
        <v>1.728</v>
      </c>
    </row>
    <row r="821" spans="1:5" ht="17">
      <c r="A821" s="35" t="s">
        <v>629</v>
      </c>
      <c r="B821" s="1" t="s">
        <v>564</v>
      </c>
      <c r="C821" s="14" t="s">
        <v>704</v>
      </c>
      <c r="D821" s="8">
        <v>180</v>
      </c>
      <c r="E821" s="24">
        <f>0.202-0.102</f>
        <v>0.10000000000000002</v>
      </c>
    </row>
    <row r="822" spans="1:5" ht="30">
      <c r="A822" s="35" t="s">
        <v>629</v>
      </c>
      <c r="B822" s="1" t="s">
        <v>564</v>
      </c>
      <c r="C822" s="14" t="s">
        <v>705</v>
      </c>
      <c r="D822" s="14">
        <v>190</v>
      </c>
      <c r="E822" s="22">
        <f>0.878-0.449-0.224+0.001-0.036</f>
        <v>0.16999999999999998</v>
      </c>
    </row>
    <row r="823" spans="1:5" ht="17">
      <c r="A823" s="35" t="s">
        <v>629</v>
      </c>
      <c r="B823" s="1" t="s">
        <v>564</v>
      </c>
      <c r="C823" s="14" t="s">
        <v>704</v>
      </c>
      <c r="D823" s="8">
        <v>280</v>
      </c>
      <c r="E823" s="24">
        <f>0.435-0.305</f>
        <v>0.13</v>
      </c>
    </row>
    <row r="824" spans="1:5" ht="17">
      <c r="A824" s="35" t="s">
        <v>629</v>
      </c>
      <c r="B824" s="10" t="s">
        <v>706</v>
      </c>
      <c r="C824" s="14" t="s">
        <v>525</v>
      </c>
      <c r="D824" s="9">
        <v>10</v>
      </c>
      <c r="E824" s="23">
        <v>0.52200000000000002</v>
      </c>
    </row>
    <row r="825" spans="1:5" ht="17">
      <c r="A825" s="35" t="s">
        <v>629</v>
      </c>
      <c r="B825" s="10" t="s">
        <v>706</v>
      </c>
      <c r="C825" s="14" t="s">
        <v>525</v>
      </c>
      <c r="D825" s="9">
        <v>12</v>
      </c>
      <c r="E825" s="23">
        <f>0.785</f>
        <v>0.78500000000000003</v>
      </c>
    </row>
    <row r="826" spans="1:5" ht="17">
      <c r="A826" s="35" t="s">
        <v>629</v>
      </c>
      <c r="B826" s="10" t="s">
        <v>706</v>
      </c>
      <c r="C826" s="14" t="s">
        <v>525</v>
      </c>
      <c r="D826" s="9">
        <v>16</v>
      </c>
      <c r="E826" s="23">
        <f>0.54-0.185-0.018</f>
        <v>0.33700000000000002</v>
      </c>
    </row>
    <row r="827" spans="1:5" ht="17">
      <c r="A827" s="35" t="s">
        <v>629</v>
      </c>
      <c r="B827" s="10" t="s">
        <v>706</v>
      </c>
      <c r="C827" s="14" t="s">
        <v>525</v>
      </c>
      <c r="D827" s="9">
        <v>25</v>
      </c>
      <c r="E827" s="23">
        <f>0.82-0.023-0.107-0.15</f>
        <v>0.53999999999999992</v>
      </c>
    </row>
    <row r="828" spans="1:5" ht="17">
      <c r="A828" s="35" t="s">
        <v>629</v>
      </c>
      <c r="B828" s="10" t="s">
        <v>706</v>
      </c>
      <c r="C828" s="14" t="s">
        <v>525</v>
      </c>
      <c r="D828" s="9">
        <v>30</v>
      </c>
      <c r="E828" s="23">
        <f>0.563-0.35</f>
        <v>0.21299999999999997</v>
      </c>
    </row>
    <row r="829" spans="1:5" ht="17">
      <c r="A829" s="35" t="s">
        <v>629</v>
      </c>
      <c r="B829" s="10" t="s">
        <v>706</v>
      </c>
      <c r="C829" s="14" t="s">
        <v>525</v>
      </c>
      <c r="D829" s="9">
        <v>40</v>
      </c>
      <c r="E829" s="23">
        <f>1.229-0.16-0.551-0.35</f>
        <v>0.16800000000000015</v>
      </c>
    </row>
    <row r="830" spans="1:5" ht="17">
      <c r="A830" s="35" t="s">
        <v>629</v>
      </c>
      <c r="B830" s="10" t="s">
        <v>706</v>
      </c>
      <c r="C830" s="14" t="s">
        <v>525</v>
      </c>
      <c r="D830" s="9">
        <v>45</v>
      </c>
      <c r="E830" s="23">
        <f>0.616-0.06-0.275-0.025</f>
        <v>0.25600000000000001</v>
      </c>
    </row>
    <row r="831" spans="1:5" ht="17">
      <c r="A831" s="35" t="s">
        <v>629</v>
      </c>
      <c r="B831" s="10" t="s">
        <v>706</v>
      </c>
      <c r="C831" s="14" t="s">
        <v>525</v>
      </c>
      <c r="D831" s="9">
        <v>45</v>
      </c>
      <c r="E831" s="23">
        <f>0.207</f>
        <v>0.20699999999999999</v>
      </c>
    </row>
    <row r="832" spans="1:5" ht="17">
      <c r="A832" s="35" t="s">
        <v>629</v>
      </c>
      <c r="B832" s="10" t="s">
        <v>706</v>
      </c>
      <c r="C832" s="14" t="s">
        <v>525</v>
      </c>
      <c r="D832" s="9">
        <v>50</v>
      </c>
      <c r="E832" s="23">
        <f>4.276-3.005-0.7-0.16-0.165-0.245</f>
        <v>9.9999999999991762E-4</v>
      </c>
    </row>
    <row r="833" spans="1:5" ht="17">
      <c r="A833" s="35" t="s">
        <v>629</v>
      </c>
      <c r="B833" s="10" t="s">
        <v>706</v>
      </c>
      <c r="C833" s="14" t="s">
        <v>525</v>
      </c>
      <c r="D833" s="9">
        <v>50</v>
      </c>
      <c r="E833" s="23">
        <f>1.581-0.061-0.5-0.11</f>
        <v>0.91</v>
      </c>
    </row>
    <row r="834" spans="1:5" ht="17">
      <c r="A834" s="35" t="s">
        <v>629</v>
      </c>
      <c r="B834" s="10" t="s">
        <v>706</v>
      </c>
      <c r="C834" s="14" t="s">
        <v>525</v>
      </c>
      <c r="D834" s="9">
        <v>50</v>
      </c>
      <c r="E834" s="23">
        <f>1.875-0.057</f>
        <v>1.8180000000000001</v>
      </c>
    </row>
    <row r="835" spans="1:5" ht="17">
      <c r="A835" s="35" t="s">
        <v>629</v>
      </c>
      <c r="B835" s="10" t="s">
        <v>706</v>
      </c>
      <c r="C835" s="14" t="s">
        <v>525</v>
      </c>
      <c r="D835" s="9">
        <v>65</v>
      </c>
      <c r="E835" s="23">
        <f>1.034</f>
        <v>1.034</v>
      </c>
    </row>
    <row r="836" spans="1:5" ht="17">
      <c r="A836" s="35" t="s">
        <v>629</v>
      </c>
      <c r="B836" s="10" t="s">
        <v>706</v>
      </c>
      <c r="C836" s="14" t="s">
        <v>525</v>
      </c>
      <c r="D836" s="9">
        <v>65</v>
      </c>
      <c r="E836" s="23">
        <f>1.098-0.367-0.096-0.209-0.21</f>
        <v>0.21600000000000016</v>
      </c>
    </row>
    <row r="837" spans="1:5" ht="30">
      <c r="A837" s="35" t="s">
        <v>629</v>
      </c>
      <c r="B837" s="10" t="s">
        <v>706</v>
      </c>
      <c r="C837" s="14" t="s">
        <v>581</v>
      </c>
      <c r="D837" s="9">
        <v>70</v>
      </c>
      <c r="E837" s="23">
        <f>2.194-0.105-0.11-0.33-0.2-0.182</f>
        <v>1.2669999999999999</v>
      </c>
    </row>
    <row r="838" spans="1:5" ht="17">
      <c r="A838" s="35" t="s">
        <v>629</v>
      </c>
      <c r="B838" s="10" t="s">
        <v>706</v>
      </c>
      <c r="C838" s="14" t="s">
        <v>525</v>
      </c>
      <c r="D838" s="9">
        <v>70</v>
      </c>
      <c r="E838" s="23">
        <f>0.693</f>
        <v>0.69299999999999995</v>
      </c>
    </row>
    <row r="839" spans="1:5" ht="17">
      <c r="A839" s="35" t="s">
        <v>629</v>
      </c>
      <c r="B839" s="10" t="s">
        <v>706</v>
      </c>
      <c r="C839" s="14" t="s">
        <v>525</v>
      </c>
      <c r="D839" s="9">
        <v>75</v>
      </c>
      <c r="E839" s="23">
        <f>0.715</f>
        <v>0.71499999999999997</v>
      </c>
    </row>
    <row r="840" spans="1:5" ht="30">
      <c r="A840" s="35" t="s">
        <v>629</v>
      </c>
      <c r="B840" s="10" t="s">
        <v>706</v>
      </c>
      <c r="C840" s="14" t="s">
        <v>581</v>
      </c>
      <c r="D840" s="9">
        <v>75</v>
      </c>
      <c r="E840" s="23">
        <f>0.796-0.202-0.137-0.051</f>
        <v>0.40600000000000008</v>
      </c>
    </row>
    <row r="841" spans="1:5" ht="30">
      <c r="A841" s="35" t="s">
        <v>629</v>
      </c>
      <c r="B841" s="10" t="s">
        <v>706</v>
      </c>
      <c r="C841" s="14" t="s">
        <v>581</v>
      </c>
      <c r="D841" s="9">
        <v>75</v>
      </c>
      <c r="E841" s="23">
        <f>0.944</f>
        <v>0.94399999999999995</v>
      </c>
    </row>
    <row r="842" spans="1:5" ht="30">
      <c r="A842" s="35" t="s">
        <v>629</v>
      </c>
      <c r="B842" s="10" t="s">
        <v>706</v>
      </c>
      <c r="C842" s="14" t="s">
        <v>581</v>
      </c>
      <c r="D842" s="9">
        <v>80</v>
      </c>
      <c r="E842" s="23">
        <f>4.982-0.162-0.495-0.325-0.91-0.128-0.255-0.48-0.325-0.66-0.32-0.022-0.2-0.154</f>
        <v>0.54599999999999993</v>
      </c>
    </row>
    <row r="843" spans="1:5" ht="30">
      <c r="A843" s="35" t="s">
        <v>629</v>
      </c>
      <c r="B843" s="10" t="s">
        <v>706</v>
      </c>
      <c r="C843" s="14" t="s">
        <v>581</v>
      </c>
      <c r="D843" s="9">
        <v>80</v>
      </c>
      <c r="E843" s="23">
        <f>2.12-0.12</f>
        <v>2</v>
      </c>
    </row>
    <row r="844" spans="1:5" ht="17">
      <c r="A844" s="35" t="s">
        <v>629</v>
      </c>
      <c r="B844" s="10" t="s">
        <v>706</v>
      </c>
      <c r="C844" s="14" t="s">
        <v>525</v>
      </c>
      <c r="D844" s="9">
        <v>85</v>
      </c>
      <c r="E844" s="23">
        <f>0.227</f>
        <v>0.22700000000000001</v>
      </c>
    </row>
    <row r="845" spans="1:5" ht="30">
      <c r="A845" s="35" t="s">
        <v>629</v>
      </c>
      <c r="B845" s="10" t="s">
        <v>706</v>
      </c>
      <c r="C845" s="14" t="s">
        <v>581</v>
      </c>
      <c r="D845" s="9">
        <v>85</v>
      </c>
      <c r="E845" s="23">
        <f>0.674-0.231-0.06-0.18</f>
        <v>0.20300000000000007</v>
      </c>
    </row>
    <row r="846" spans="1:5" ht="30">
      <c r="A846" s="35" t="s">
        <v>629</v>
      </c>
      <c r="B846" s="10" t="s">
        <v>706</v>
      </c>
      <c r="C846" s="14" t="s">
        <v>581</v>
      </c>
      <c r="D846" s="9">
        <v>85</v>
      </c>
      <c r="E846" s="23">
        <f>1.026</f>
        <v>1.026</v>
      </c>
    </row>
    <row r="847" spans="1:5" ht="30">
      <c r="A847" s="35" t="s">
        <v>629</v>
      </c>
      <c r="B847" s="10" t="s">
        <v>706</v>
      </c>
      <c r="C847" s="14" t="s">
        <v>581</v>
      </c>
      <c r="D847" s="9">
        <v>90</v>
      </c>
      <c r="E847" s="23">
        <f>1.984-0.5-0.3</f>
        <v>1.1839999999999999</v>
      </c>
    </row>
    <row r="848" spans="1:5" ht="30">
      <c r="A848" s="35" t="s">
        <v>629</v>
      </c>
      <c r="B848" s="1" t="s">
        <v>706</v>
      </c>
      <c r="C848" s="14" t="s">
        <v>581</v>
      </c>
      <c r="D848" s="14">
        <v>100</v>
      </c>
      <c r="E848" s="23">
        <f>6.206-0.485-0.52-0.205-0.5-0.185-0.568-2.605-0.132-0.488-0.3</f>
        <v>0.21800000000000069</v>
      </c>
    </row>
    <row r="849" spans="1:5" ht="30">
      <c r="A849" s="35" t="s">
        <v>629</v>
      </c>
      <c r="B849" s="1" t="s">
        <v>706</v>
      </c>
      <c r="C849" s="14" t="s">
        <v>581</v>
      </c>
      <c r="D849" s="14">
        <v>100</v>
      </c>
      <c r="E849" s="23">
        <f>2.578-0.196-1-0.1-0.37</f>
        <v>0.91199999999999959</v>
      </c>
    </row>
    <row r="850" spans="1:5" ht="17">
      <c r="A850" s="35" t="s">
        <v>629</v>
      </c>
      <c r="B850" s="10" t="s">
        <v>706</v>
      </c>
      <c r="C850" s="14" t="s">
        <v>525</v>
      </c>
      <c r="D850" s="9">
        <v>100</v>
      </c>
      <c r="E850" s="23">
        <f>0.546</f>
        <v>0.54600000000000004</v>
      </c>
    </row>
    <row r="851" spans="1:5" ht="30">
      <c r="A851" s="35" t="s">
        <v>629</v>
      </c>
      <c r="B851" s="10" t="s">
        <v>706</v>
      </c>
      <c r="C851" s="14" t="s">
        <v>581</v>
      </c>
      <c r="D851" s="9">
        <v>100</v>
      </c>
      <c r="E851" s="23">
        <f>2.1</f>
        <v>2.1</v>
      </c>
    </row>
    <row r="852" spans="1:5" ht="30">
      <c r="A852" s="35" t="s">
        <v>629</v>
      </c>
      <c r="B852" s="1" t="s">
        <v>706</v>
      </c>
      <c r="C852" s="14" t="s">
        <v>581</v>
      </c>
      <c r="D852" s="14">
        <v>110</v>
      </c>
      <c r="E852" s="23">
        <f>2.492-0.262-0.512-0.249-0.134-0.03-0.59-0.494</f>
        <v>0.22099999999999997</v>
      </c>
    </row>
    <row r="853" spans="1:5" ht="30">
      <c r="A853" s="35" t="s">
        <v>629</v>
      </c>
      <c r="B853" s="1" t="s">
        <v>706</v>
      </c>
      <c r="C853" s="14" t="s">
        <v>581</v>
      </c>
      <c r="D853" s="14">
        <v>110</v>
      </c>
      <c r="E853" s="23">
        <f>1.446-0.3-0.35</f>
        <v>0.79599999999999993</v>
      </c>
    </row>
    <row r="854" spans="1:5" ht="30">
      <c r="A854" s="35" t="s">
        <v>629</v>
      </c>
      <c r="B854" s="1" t="s">
        <v>706</v>
      </c>
      <c r="C854" s="14" t="s">
        <v>581</v>
      </c>
      <c r="D854" s="14">
        <v>110</v>
      </c>
      <c r="E854" s="23">
        <f>2.634</f>
        <v>2.6339999999999999</v>
      </c>
    </row>
    <row r="855" spans="1:5" ht="30">
      <c r="A855" s="35" t="s">
        <v>629</v>
      </c>
      <c r="B855" s="1" t="s">
        <v>706</v>
      </c>
      <c r="C855" s="14" t="s">
        <v>581</v>
      </c>
      <c r="D855" s="14">
        <v>130</v>
      </c>
      <c r="E855" s="23">
        <f>3.152-0.438-0.104-0.529-1.022-0.056-0.016-0.459-0.35</f>
        <v>0.17799999999999983</v>
      </c>
    </row>
    <row r="856" spans="1:5" ht="30">
      <c r="A856" s="35" t="s">
        <v>629</v>
      </c>
      <c r="B856" s="1" t="s">
        <v>706</v>
      </c>
      <c r="C856" s="14" t="s">
        <v>581</v>
      </c>
      <c r="D856" s="14">
        <v>150</v>
      </c>
      <c r="E856" s="23">
        <f>8.216-1-3-0.416</f>
        <v>3.7999999999999994</v>
      </c>
    </row>
    <row r="857" spans="1:5" ht="30">
      <c r="A857" s="35" t="s">
        <v>629</v>
      </c>
      <c r="B857" s="1" t="s">
        <v>706</v>
      </c>
      <c r="C857" s="14" t="s">
        <v>581</v>
      </c>
      <c r="D857" s="14">
        <v>160</v>
      </c>
      <c r="E857" s="23">
        <f>1.712-0.382-0.082-0.032</f>
        <v>1.216</v>
      </c>
    </row>
    <row r="858" spans="1:5" ht="30">
      <c r="A858" s="35" t="s">
        <v>629</v>
      </c>
      <c r="B858" s="1" t="s">
        <v>706</v>
      </c>
      <c r="C858" s="14" t="s">
        <v>581</v>
      </c>
      <c r="D858" s="14">
        <v>170</v>
      </c>
      <c r="E858" s="23">
        <f>1.878-0.922-0.1-0.184-0.031</f>
        <v>0.6409999999999999</v>
      </c>
    </row>
    <row r="859" spans="1:5" ht="30">
      <c r="A859" s="35" t="s">
        <v>629</v>
      </c>
      <c r="B859" s="1" t="s">
        <v>706</v>
      </c>
      <c r="C859" s="14" t="s">
        <v>581</v>
      </c>
      <c r="D859" s="14">
        <v>170</v>
      </c>
      <c r="E859" s="23">
        <f>0.886</f>
        <v>0.88600000000000001</v>
      </c>
    </row>
    <row r="860" spans="1:5" ht="30">
      <c r="A860" s="35" t="s">
        <v>629</v>
      </c>
      <c r="B860" s="1" t="s">
        <v>706</v>
      </c>
      <c r="C860" s="14" t="s">
        <v>581</v>
      </c>
      <c r="D860" s="14">
        <v>170</v>
      </c>
      <c r="E860" s="23">
        <f>3.362</f>
        <v>3.3620000000000001</v>
      </c>
    </row>
    <row r="861" spans="1:5" ht="30">
      <c r="A861" s="35" t="s">
        <v>629</v>
      </c>
      <c r="B861" s="1" t="s">
        <v>706</v>
      </c>
      <c r="C861" s="14" t="s">
        <v>581</v>
      </c>
      <c r="D861" s="14">
        <v>180</v>
      </c>
      <c r="E861" s="23">
        <f>5.114-0.314-0.82-0.104-0.084-0.022-0.6-1</f>
        <v>2.17</v>
      </c>
    </row>
    <row r="862" spans="1:5" ht="30">
      <c r="A862" s="35" t="s">
        <v>629</v>
      </c>
      <c r="B862" s="1" t="s">
        <v>706</v>
      </c>
      <c r="C862" s="14" t="s">
        <v>581</v>
      </c>
      <c r="D862" s="14">
        <v>210</v>
      </c>
      <c r="E862" s="23">
        <f>1.77-0.886</f>
        <v>0.88400000000000001</v>
      </c>
    </row>
    <row r="863" spans="1:5" ht="30">
      <c r="A863" s="35" t="s">
        <v>629</v>
      </c>
      <c r="B863" s="1" t="s">
        <v>706</v>
      </c>
      <c r="C863" s="14" t="s">
        <v>581</v>
      </c>
      <c r="D863" s="14">
        <v>230</v>
      </c>
      <c r="E863" s="23">
        <f>3.818-0.318-0.168</f>
        <v>3.3319999999999999</v>
      </c>
    </row>
    <row r="864" spans="1:5" ht="30">
      <c r="A864" s="35" t="s">
        <v>629</v>
      </c>
      <c r="B864" s="1" t="s">
        <v>706</v>
      </c>
      <c r="C864" s="14" t="s">
        <v>581</v>
      </c>
      <c r="D864" s="14">
        <v>230</v>
      </c>
      <c r="E864" s="23">
        <f>3.764</f>
        <v>3.7639999999999998</v>
      </c>
    </row>
    <row r="865" spans="1:5" ht="30">
      <c r="A865" s="35" t="s">
        <v>629</v>
      </c>
      <c r="B865" s="1" t="s">
        <v>706</v>
      </c>
      <c r="C865" s="14" t="s">
        <v>581</v>
      </c>
      <c r="D865" s="14">
        <v>240</v>
      </c>
      <c r="E865" s="23">
        <f>4.136-0.546-2.11-0.24</f>
        <v>1.24</v>
      </c>
    </row>
    <row r="866" spans="1:5" ht="30">
      <c r="A866" s="35" t="s">
        <v>629</v>
      </c>
      <c r="B866" s="10" t="s">
        <v>706</v>
      </c>
      <c r="C866" s="9" t="s">
        <v>707</v>
      </c>
      <c r="D866" s="9">
        <v>260</v>
      </c>
      <c r="E866" s="23">
        <f>1.67-0.06-0.096-0.216-0.812-0.125-0.062</f>
        <v>0.29899999999999977</v>
      </c>
    </row>
    <row r="867" spans="1:5" ht="30">
      <c r="A867" s="35" t="s">
        <v>629</v>
      </c>
      <c r="B867" s="10" t="s">
        <v>706</v>
      </c>
      <c r="C867" s="9" t="s">
        <v>581</v>
      </c>
      <c r="D867" s="9">
        <v>260</v>
      </c>
      <c r="E867" s="23">
        <f>1.99-1.136-0.21-0.152-0.064-0.21</f>
        <v>0.21800000000000011</v>
      </c>
    </row>
    <row r="868" spans="1:5" ht="30">
      <c r="A868" s="35" t="s">
        <v>629</v>
      </c>
      <c r="B868" s="10" t="s">
        <v>706</v>
      </c>
      <c r="C868" s="14" t="s">
        <v>581</v>
      </c>
      <c r="D868" s="9">
        <v>290</v>
      </c>
      <c r="E868" s="23">
        <f>2.464-2.072</f>
        <v>0.3919999999999999</v>
      </c>
    </row>
    <row r="869" spans="1:5" ht="30">
      <c r="A869" s="35" t="s">
        <v>629</v>
      </c>
      <c r="B869" s="1" t="s">
        <v>706</v>
      </c>
      <c r="C869" s="14" t="s">
        <v>581</v>
      </c>
      <c r="D869" s="14">
        <v>290</v>
      </c>
      <c r="E869" s="23">
        <f>4.133-0.068-2.11</f>
        <v>1.9550000000000005</v>
      </c>
    </row>
    <row r="870" spans="1:5" ht="30">
      <c r="A870" s="35" t="s">
        <v>629</v>
      </c>
      <c r="B870" s="1" t="s">
        <v>706</v>
      </c>
      <c r="C870" s="14" t="s">
        <v>581</v>
      </c>
      <c r="D870" s="14">
        <v>300</v>
      </c>
      <c r="E870" s="23">
        <f>2.565-1.722</f>
        <v>0.84299999999999997</v>
      </c>
    </row>
    <row r="871" spans="1:5" ht="30">
      <c r="A871" s="35" t="s">
        <v>629</v>
      </c>
      <c r="B871" s="10" t="s">
        <v>706</v>
      </c>
      <c r="C871" s="9" t="s">
        <v>581</v>
      </c>
      <c r="D871" s="9">
        <v>320</v>
      </c>
      <c r="E871" s="23">
        <f>1.024-0.03</f>
        <v>0.99399999999999999</v>
      </c>
    </row>
    <row r="872" spans="1:5" ht="30">
      <c r="A872" s="35" t="s">
        <v>629</v>
      </c>
      <c r="B872" s="10" t="s">
        <v>706</v>
      </c>
      <c r="C872" s="9" t="s">
        <v>581</v>
      </c>
      <c r="D872" s="9">
        <v>330</v>
      </c>
      <c r="E872" s="23">
        <f>2.382-0.494-1.496</f>
        <v>0.39200000000000013</v>
      </c>
    </row>
    <row r="873" spans="1:5" ht="30">
      <c r="A873" s="35" t="s">
        <v>629</v>
      </c>
      <c r="B873" s="10" t="s">
        <v>706</v>
      </c>
      <c r="C873" s="9" t="s">
        <v>581</v>
      </c>
      <c r="D873" s="9">
        <v>330</v>
      </c>
      <c r="E873" s="23">
        <f>1.334-0.49</f>
        <v>0.84400000000000008</v>
      </c>
    </row>
    <row r="874" spans="1:5" ht="30">
      <c r="A874" s="35" t="s">
        <v>629</v>
      </c>
      <c r="B874" s="1" t="s">
        <v>706</v>
      </c>
      <c r="C874" s="14" t="s">
        <v>581</v>
      </c>
      <c r="D874" s="14">
        <v>380</v>
      </c>
      <c r="E874" s="23">
        <f>4.512-0.832-0.9</f>
        <v>2.78</v>
      </c>
    </row>
    <row r="875" spans="1:5" ht="30">
      <c r="A875" s="35" t="s">
        <v>629</v>
      </c>
      <c r="B875" s="1" t="s">
        <v>706</v>
      </c>
      <c r="C875" s="14" t="s">
        <v>581</v>
      </c>
      <c r="D875" s="14">
        <v>410</v>
      </c>
      <c r="E875" s="23">
        <f>4.006-0.048-0.842-0.194-1.482-0.266</f>
        <v>1.1740000000000002</v>
      </c>
    </row>
    <row r="876" spans="1:5" ht="30">
      <c r="A876" s="35" t="s">
        <v>629</v>
      </c>
      <c r="B876" s="1" t="s">
        <v>706</v>
      </c>
      <c r="C876" s="14" t="s">
        <v>581</v>
      </c>
      <c r="D876" s="14">
        <v>410</v>
      </c>
      <c r="E876" s="23">
        <f>4.39</f>
        <v>4.3899999999999997</v>
      </c>
    </row>
    <row r="877" spans="1:5" ht="17">
      <c r="A877" s="35" t="s">
        <v>629</v>
      </c>
      <c r="B877" s="1" t="s">
        <v>706</v>
      </c>
      <c r="C877" s="1" t="s">
        <v>525</v>
      </c>
      <c r="D877" s="14" t="s">
        <v>708</v>
      </c>
      <c r="E877" s="23">
        <f>2.048-0.509-0.02-0.204-0.292-0.021-0.022-0.021</f>
        <v>0.95900000000000019</v>
      </c>
    </row>
    <row r="878" spans="1:5" ht="17">
      <c r="A878" s="35" t="s">
        <v>629</v>
      </c>
      <c r="B878" s="1" t="s">
        <v>706</v>
      </c>
      <c r="C878" s="1" t="s">
        <v>525</v>
      </c>
      <c r="D878" s="14" t="s">
        <v>708</v>
      </c>
      <c r="E878" s="23">
        <f>1.148</f>
        <v>1.1479999999999999</v>
      </c>
    </row>
    <row r="879" spans="1:5" ht="17">
      <c r="A879" s="35" t="s">
        <v>629</v>
      </c>
      <c r="B879" s="1" t="s">
        <v>706</v>
      </c>
      <c r="C879" s="1" t="s">
        <v>525</v>
      </c>
      <c r="D879" s="14" t="s">
        <v>709</v>
      </c>
      <c r="E879" s="23">
        <f>0.424-0.243-0.126</f>
        <v>5.4999999999999993E-2</v>
      </c>
    </row>
    <row r="880" spans="1:5" ht="17">
      <c r="A880" s="35" t="s">
        <v>629</v>
      </c>
      <c r="B880" s="1" t="s">
        <v>706</v>
      </c>
      <c r="C880" s="1" t="s">
        <v>525</v>
      </c>
      <c r="D880" s="14" t="s">
        <v>709</v>
      </c>
      <c r="E880" s="23">
        <f>0.738-0.216-0.3</f>
        <v>0.22200000000000003</v>
      </c>
    </row>
    <row r="881" spans="1:5" ht="17">
      <c r="A881" s="35" t="s">
        <v>629</v>
      </c>
      <c r="B881" s="1" t="s">
        <v>706</v>
      </c>
      <c r="C881" s="1" t="s">
        <v>525</v>
      </c>
      <c r="D881" s="14" t="s">
        <v>709</v>
      </c>
      <c r="E881" s="23">
        <f>1.18</f>
        <v>1.18</v>
      </c>
    </row>
    <row r="882" spans="1:5" ht="17">
      <c r="A882" s="35" t="s">
        <v>629</v>
      </c>
      <c r="B882" s="1" t="s">
        <v>706</v>
      </c>
      <c r="C882" s="1" t="s">
        <v>525</v>
      </c>
      <c r="D882" s="14" t="s">
        <v>710</v>
      </c>
      <c r="E882" s="23">
        <f>1.588-0.145</f>
        <v>1.4430000000000001</v>
      </c>
    </row>
    <row r="883" spans="1:5" ht="17">
      <c r="A883" s="35" t="s">
        <v>629</v>
      </c>
      <c r="B883" s="1" t="s">
        <v>706</v>
      </c>
      <c r="C883" s="1" t="s">
        <v>525</v>
      </c>
      <c r="D883" s="14" t="s">
        <v>711</v>
      </c>
      <c r="E883" s="23">
        <f>1.918-0.114</f>
        <v>1.8039999999999998</v>
      </c>
    </row>
    <row r="884" spans="1:5" ht="17">
      <c r="A884" s="35" t="s">
        <v>629</v>
      </c>
      <c r="B884" s="1" t="s">
        <v>706</v>
      </c>
      <c r="C884" s="1" t="s">
        <v>525</v>
      </c>
      <c r="D884" s="14" t="s">
        <v>712</v>
      </c>
      <c r="E884" s="23">
        <f>1.09-0.048-0.211</f>
        <v>0.83100000000000007</v>
      </c>
    </row>
    <row r="885" spans="1:5" ht="17">
      <c r="A885" s="35" t="s">
        <v>629</v>
      </c>
      <c r="B885" s="1" t="s">
        <v>706</v>
      </c>
      <c r="C885" s="1" t="s">
        <v>525</v>
      </c>
      <c r="D885" s="14" t="s">
        <v>713</v>
      </c>
      <c r="E885" s="23">
        <f>3.332</f>
        <v>3.3319999999999999</v>
      </c>
    </row>
    <row r="886" spans="1:5" ht="17">
      <c r="A886" s="35" t="s">
        <v>629</v>
      </c>
      <c r="B886" s="1" t="s">
        <v>706</v>
      </c>
      <c r="C886" s="1" t="s">
        <v>525</v>
      </c>
      <c r="D886" s="14" t="s">
        <v>714</v>
      </c>
      <c r="E886" s="23">
        <f>0.963-0.066</f>
        <v>0.89700000000000002</v>
      </c>
    </row>
    <row r="887" spans="1:5" ht="17">
      <c r="A887" s="35" t="s">
        <v>629</v>
      </c>
      <c r="B887" s="1" t="s">
        <v>706</v>
      </c>
      <c r="C887" s="1" t="s">
        <v>525</v>
      </c>
      <c r="D887" s="14" t="s">
        <v>715</v>
      </c>
      <c r="E887" s="23">
        <f>2.862-0.444-0.15-0.99-0.074-0.07-0.298-0.076-0.076-0.072-0.072</f>
        <v>0.54000000000000026</v>
      </c>
    </row>
    <row r="888" spans="1:5" ht="17">
      <c r="A888" s="35" t="s">
        <v>629</v>
      </c>
      <c r="B888" s="1" t="s">
        <v>706</v>
      </c>
      <c r="C888" s="1" t="s">
        <v>525</v>
      </c>
      <c r="D888" s="14" t="s">
        <v>716</v>
      </c>
      <c r="E888" s="23">
        <f>0.642-0.207</f>
        <v>0.43500000000000005</v>
      </c>
    </row>
    <row r="889" spans="1:5" ht="17">
      <c r="A889" s="35" t="s">
        <v>629</v>
      </c>
      <c r="B889" s="1" t="s">
        <v>706</v>
      </c>
      <c r="C889" s="1" t="s">
        <v>525</v>
      </c>
      <c r="D889" s="14" t="s">
        <v>717</v>
      </c>
      <c r="E889" s="23">
        <f>1.834-0.07-0.237-0.062-0.268-0.093-0.09-0.086-0.17-0.069-0.093</f>
        <v>0.59600000000000009</v>
      </c>
    </row>
    <row r="890" spans="1:5" ht="17">
      <c r="A890" s="35" t="s">
        <v>629</v>
      </c>
      <c r="B890" s="1" t="s">
        <v>706</v>
      </c>
      <c r="C890" s="1" t="s">
        <v>525</v>
      </c>
      <c r="D890" s="14" t="s">
        <v>717</v>
      </c>
      <c r="E890" s="23">
        <f>0.595</f>
        <v>0.59499999999999997</v>
      </c>
    </row>
    <row r="891" spans="1:5" ht="17">
      <c r="A891" s="35" t="s">
        <v>629</v>
      </c>
      <c r="B891" s="1" t="s">
        <v>706</v>
      </c>
      <c r="C891" s="1" t="s">
        <v>525</v>
      </c>
      <c r="D891" s="14" t="s">
        <v>718</v>
      </c>
      <c r="E891" s="23">
        <f>1.915-0.515</f>
        <v>1.4</v>
      </c>
    </row>
    <row r="892" spans="1:5" ht="17">
      <c r="A892" s="35" t="s">
        <v>629</v>
      </c>
      <c r="B892" s="1" t="s">
        <v>706</v>
      </c>
      <c r="C892" s="1" t="s">
        <v>525</v>
      </c>
      <c r="D892" s="14" t="s">
        <v>719</v>
      </c>
      <c r="E892" s="23">
        <f>1.953-0.07-0.064</f>
        <v>1.819</v>
      </c>
    </row>
    <row r="893" spans="1:5" ht="17">
      <c r="A893" s="35" t="s">
        <v>629</v>
      </c>
      <c r="B893" s="1" t="s">
        <v>706</v>
      </c>
      <c r="C893" s="1" t="s">
        <v>525</v>
      </c>
      <c r="D893" s="14" t="s">
        <v>720</v>
      </c>
      <c r="E893" s="23">
        <f>0.042-0.014</f>
        <v>2.8000000000000004E-2</v>
      </c>
    </row>
    <row r="894" spans="1:5" ht="17">
      <c r="A894" s="35" t="s">
        <v>629</v>
      </c>
      <c r="B894" s="1" t="s">
        <v>706</v>
      </c>
      <c r="C894" s="1" t="s">
        <v>525</v>
      </c>
      <c r="D894" s="14" t="s">
        <v>571</v>
      </c>
      <c r="E894" s="23">
        <f>4.348-1.059-0.384-0.11-0.58-0.092-0.11-0.57-0.096-0.05-0.096-0.016-0.672</f>
        <v>0.51299999999999979</v>
      </c>
    </row>
    <row r="895" spans="1:5" ht="17">
      <c r="A895" s="35" t="s">
        <v>629</v>
      </c>
      <c r="B895" s="10" t="s">
        <v>706</v>
      </c>
      <c r="C895" s="10" t="s">
        <v>525</v>
      </c>
      <c r="D895" s="9" t="s">
        <v>618</v>
      </c>
      <c r="E895" s="23">
        <f>2.363-1.019-0.332-0.034-0.018-0.048-0.168</f>
        <v>0.74399999999999988</v>
      </c>
    </row>
    <row r="896" spans="1:5" ht="17">
      <c r="A896" s="35" t="s">
        <v>629</v>
      </c>
      <c r="B896" s="10" t="s">
        <v>706</v>
      </c>
      <c r="C896" s="10" t="s">
        <v>525</v>
      </c>
      <c r="D896" s="9" t="s">
        <v>618</v>
      </c>
      <c r="E896" s="23">
        <f>0.68</f>
        <v>0.68</v>
      </c>
    </row>
    <row r="897" spans="1:5" ht="17">
      <c r="A897" s="35" t="s">
        <v>629</v>
      </c>
      <c r="B897" s="10" t="s">
        <v>706</v>
      </c>
      <c r="C897" s="10" t="s">
        <v>525</v>
      </c>
      <c r="D897" s="9" t="s">
        <v>618</v>
      </c>
      <c r="E897" s="23">
        <f>2.202</f>
        <v>2.202</v>
      </c>
    </row>
    <row r="898" spans="1:5" ht="17">
      <c r="A898" s="35" t="s">
        <v>629</v>
      </c>
      <c r="B898" s="10" t="s">
        <v>706</v>
      </c>
      <c r="C898" s="10" t="s">
        <v>525</v>
      </c>
      <c r="D898" s="9" t="s">
        <v>572</v>
      </c>
      <c r="E898" s="23">
        <f>2.156-0.015-0.054-0.074-0.025-0.074-0.202</f>
        <v>1.7120000000000004</v>
      </c>
    </row>
    <row r="899" spans="1:5" ht="17">
      <c r="A899" s="35" t="s">
        <v>629</v>
      </c>
      <c r="B899" s="10" t="s">
        <v>706</v>
      </c>
      <c r="C899" s="10" t="s">
        <v>525</v>
      </c>
      <c r="D899" s="9" t="s">
        <v>572</v>
      </c>
      <c r="E899" s="23">
        <f>1.213</f>
        <v>1.2130000000000001</v>
      </c>
    </row>
    <row r="900" spans="1:5" ht="17">
      <c r="A900" s="35" t="s">
        <v>629</v>
      </c>
      <c r="B900" s="1" t="s">
        <v>706</v>
      </c>
      <c r="C900" s="1" t="s">
        <v>525</v>
      </c>
      <c r="D900" s="14" t="s">
        <v>574</v>
      </c>
      <c r="E900" s="23">
        <f>0.721-0.12</f>
        <v>0.60099999999999998</v>
      </c>
    </row>
    <row r="901" spans="1:5" ht="17">
      <c r="A901" s="35" t="s">
        <v>629</v>
      </c>
      <c r="B901" s="1" t="s">
        <v>706</v>
      </c>
      <c r="C901" s="1" t="s">
        <v>525</v>
      </c>
      <c r="D901" s="14" t="s">
        <v>574</v>
      </c>
      <c r="E901" s="23">
        <f>0.866</f>
        <v>0.86599999999999999</v>
      </c>
    </row>
    <row r="902" spans="1:5" ht="17">
      <c r="A902" s="35" t="s">
        <v>629</v>
      </c>
      <c r="B902" s="1" t="s">
        <v>706</v>
      </c>
      <c r="C902" s="1" t="s">
        <v>525</v>
      </c>
      <c r="D902" s="14" t="s">
        <v>721</v>
      </c>
      <c r="E902" s="23">
        <f>1.655-0.054-0.418-0.41-0.18</f>
        <v>0.59300000000000019</v>
      </c>
    </row>
    <row r="903" spans="1:5" ht="17">
      <c r="A903" s="35" t="s">
        <v>629</v>
      </c>
      <c r="B903" s="1" t="s">
        <v>706</v>
      </c>
      <c r="C903" s="1" t="s">
        <v>525</v>
      </c>
      <c r="D903" s="14" t="s">
        <v>722</v>
      </c>
      <c r="E903" s="23">
        <f>0.072</f>
        <v>7.1999999999999995E-2</v>
      </c>
    </row>
    <row r="904" spans="1:5" ht="17">
      <c r="A904" s="35" t="s">
        <v>629</v>
      </c>
      <c r="B904" s="1" t="s">
        <v>706</v>
      </c>
      <c r="C904" s="1" t="s">
        <v>525</v>
      </c>
      <c r="D904" s="14" t="s">
        <v>619</v>
      </c>
      <c r="E904" s="23">
        <f>1.004-0.258-0.1-0.58</f>
        <v>6.6000000000000059E-2</v>
      </c>
    </row>
    <row r="905" spans="1:5" ht="17">
      <c r="A905" s="35" t="s">
        <v>629</v>
      </c>
      <c r="B905" s="1" t="s">
        <v>706</v>
      </c>
      <c r="C905" s="1" t="s">
        <v>525</v>
      </c>
      <c r="D905" s="14" t="s">
        <v>576</v>
      </c>
      <c r="E905" s="23">
        <f>2.499-0.51-1.09-0.178</f>
        <v>0.72100000000000009</v>
      </c>
    </row>
    <row r="906" spans="1:5" ht="17">
      <c r="A906" s="35" t="s">
        <v>629</v>
      </c>
      <c r="B906" s="1" t="s">
        <v>706</v>
      </c>
      <c r="C906" s="1" t="s">
        <v>525</v>
      </c>
      <c r="D906" s="14" t="s">
        <v>723</v>
      </c>
      <c r="E906" s="22">
        <f>0.237-0.082-0.069-0.057</f>
        <v>2.8999999999999963E-2</v>
      </c>
    </row>
    <row r="907" spans="1:5" ht="17">
      <c r="A907" s="35" t="s">
        <v>629</v>
      </c>
      <c r="B907" s="1" t="s">
        <v>706</v>
      </c>
      <c r="C907" s="1" t="s">
        <v>525</v>
      </c>
      <c r="D907" s="14" t="s">
        <v>723</v>
      </c>
      <c r="E907" s="22">
        <f>0.494-0.032-0.06-0.06-0.107-0.113</f>
        <v>0.12199999999999998</v>
      </c>
    </row>
    <row r="908" spans="1:5" ht="17">
      <c r="A908" s="35" t="s">
        <v>629</v>
      </c>
      <c r="B908" s="1" t="s">
        <v>706</v>
      </c>
      <c r="C908" s="1" t="s">
        <v>525</v>
      </c>
      <c r="D908" s="14" t="s">
        <v>724</v>
      </c>
      <c r="E908" s="23">
        <v>2.8000000000000001E-2</v>
      </c>
    </row>
    <row r="909" spans="1:5" ht="17">
      <c r="A909" s="35" t="s">
        <v>629</v>
      </c>
      <c r="B909" s="1" t="s">
        <v>706</v>
      </c>
      <c r="C909" s="1" t="s">
        <v>525</v>
      </c>
      <c r="D909" s="14" t="s">
        <v>579</v>
      </c>
      <c r="E909" s="23">
        <f>1.998-0.062-0.304-0.017-0.434-0.122-0.332-0.104-0.216-0.3-(0.029)</f>
        <v>7.8000000000000153E-2</v>
      </c>
    </row>
    <row r="910" spans="1:5" ht="17">
      <c r="A910" s="35" t="s">
        <v>629</v>
      </c>
      <c r="B910" s="1" t="s">
        <v>706</v>
      </c>
      <c r="C910" s="1" t="s">
        <v>525</v>
      </c>
      <c r="D910" s="14" t="s">
        <v>725</v>
      </c>
      <c r="E910" s="23">
        <f>0.152</f>
        <v>0.152</v>
      </c>
    </row>
    <row r="911" spans="1:5" ht="17">
      <c r="A911" s="35" t="s">
        <v>629</v>
      </c>
      <c r="B911" s="1" t="s">
        <v>706</v>
      </c>
      <c r="C911" s="1" t="s">
        <v>525</v>
      </c>
      <c r="D911" s="14" t="s">
        <v>726</v>
      </c>
      <c r="E911" s="23">
        <f>0.246-0.034-0.088-0.02</f>
        <v>0.104</v>
      </c>
    </row>
    <row r="912" spans="1:5" ht="17">
      <c r="A912" s="35" t="s">
        <v>629</v>
      </c>
      <c r="B912" s="1" t="s">
        <v>706</v>
      </c>
      <c r="C912" s="1" t="s">
        <v>525</v>
      </c>
      <c r="D912" s="14" t="s">
        <v>582</v>
      </c>
      <c r="E912" s="23">
        <f>2.924-0.3-0.1-0.972-0.026-0.212-0.316-0.05-0.206-0.125-0.225</f>
        <v>0.39200000000000002</v>
      </c>
    </row>
    <row r="913" spans="1:5" ht="17">
      <c r="A913" s="35" t="s">
        <v>629</v>
      </c>
      <c r="B913" s="1" t="s">
        <v>706</v>
      </c>
      <c r="C913" s="1" t="s">
        <v>525</v>
      </c>
      <c r="D913" s="14" t="s">
        <v>582</v>
      </c>
      <c r="E913" s="23">
        <f>3.438-0.296-0.09-0.796-0.588-0.038</f>
        <v>1.6300000000000001</v>
      </c>
    </row>
    <row r="914" spans="1:5" ht="17">
      <c r="A914" s="35" t="s">
        <v>629</v>
      </c>
      <c r="B914" s="1" t="s">
        <v>706</v>
      </c>
      <c r="C914" s="1" t="s">
        <v>525</v>
      </c>
      <c r="D914" s="14" t="s">
        <v>582</v>
      </c>
      <c r="E914" s="23">
        <f>4.548-1.96-0.151</f>
        <v>2.4370000000000003</v>
      </c>
    </row>
    <row r="915" spans="1:5" ht="17">
      <c r="A915" s="35" t="s">
        <v>629</v>
      </c>
      <c r="B915" s="1" t="s">
        <v>706</v>
      </c>
      <c r="C915" s="1" t="s">
        <v>525</v>
      </c>
      <c r="D915" s="14" t="s">
        <v>582</v>
      </c>
      <c r="E915" s="23">
        <f>1.57</f>
        <v>1.57</v>
      </c>
    </row>
    <row r="916" spans="1:5" ht="17">
      <c r="A916" s="35" t="s">
        <v>629</v>
      </c>
      <c r="B916" s="1" t="s">
        <v>706</v>
      </c>
      <c r="C916" s="1" t="s">
        <v>525</v>
      </c>
      <c r="D916" s="14" t="s">
        <v>727</v>
      </c>
      <c r="E916" s="23">
        <f>1.702</f>
        <v>1.702</v>
      </c>
    </row>
    <row r="917" spans="1:5" ht="17">
      <c r="A917" s="35" t="s">
        <v>629</v>
      </c>
      <c r="B917" s="1" t="s">
        <v>706</v>
      </c>
      <c r="C917" s="1" t="s">
        <v>525</v>
      </c>
      <c r="D917" s="14" t="s">
        <v>691</v>
      </c>
      <c r="E917" s="23">
        <f>1.391-0.065</f>
        <v>1.3260000000000001</v>
      </c>
    </row>
    <row r="918" spans="1:5" ht="30">
      <c r="A918" s="35" t="s">
        <v>629</v>
      </c>
      <c r="B918" s="1" t="s">
        <v>706</v>
      </c>
      <c r="C918" s="1" t="s">
        <v>581</v>
      </c>
      <c r="D918" s="14" t="s">
        <v>526</v>
      </c>
      <c r="E918" s="23">
        <f>3.392-0.212-0.109-0.746-0.204-0.108-1.544-0.16</f>
        <v>0.30899999999999939</v>
      </c>
    </row>
    <row r="919" spans="1:5" ht="30">
      <c r="A919" s="35" t="s">
        <v>629</v>
      </c>
      <c r="B919" s="1" t="s">
        <v>706</v>
      </c>
      <c r="C919" s="1" t="s">
        <v>581</v>
      </c>
      <c r="D919" s="14" t="s">
        <v>534</v>
      </c>
      <c r="E919" s="23">
        <f>0.978-0.06-0.082-0.02-0.404-0.116-0.096</f>
        <v>0.19999999999999993</v>
      </c>
    </row>
    <row r="920" spans="1:5" ht="30">
      <c r="A920" s="35" t="s">
        <v>629</v>
      </c>
      <c r="B920" s="1" t="s">
        <v>706</v>
      </c>
      <c r="C920" s="1" t="s">
        <v>581</v>
      </c>
      <c r="D920" s="14" t="s">
        <v>534</v>
      </c>
      <c r="E920" s="23">
        <f>3.848-0.216-0.028-1.882-0.142</f>
        <v>1.5799999999999998</v>
      </c>
    </row>
    <row r="921" spans="1:5" ht="30">
      <c r="A921" s="35" t="s">
        <v>629</v>
      </c>
      <c r="B921" s="1" t="s">
        <v>706</v>
      </c>
      <c r="C921" s="1" t="s">
        <v>581</v>
      </c>
      <c r="D921" s="14" t="s">
        <v>534</v>
      </c>
      <c r="E921" s="23">
        <f>2.968-0.31</f>
        <v>2.6579999999999999</v>
      </c>
    </row>
    <row r="922" spans="1:5" ht="17">
      <c r="A922" s="35" t="s">
        <v>629</v>
      </c>
      <c r="B922" s="1" t="s">
        <v>706</v>
      </c>
      <c r="C922" s="1" t="s">
        <v>525</v>
      </c>
      <c r="D922" s="14" t="s">
        <v>728</v>
      </c>
      <c r="E922" s="23">
        <f>0.285-0.06</f>
        <v>0.22499999999999998</v>
      </c>
    </row>
    <row r="923" spans="1:5" ht="30">
      <c r="A923" s="35" t="s">
        <v>629</v>
      </c>
      <c r="B923" s="1" t="s">
        <v>706</v>
      </c>
      <c r="C923" s="1" t="s">
        <v>581</v>
      </c>
      <c r="D923" s="14" t="s">
        <v>544</v>
      </c>
      <c r="E923" s="23">
        <f>1.228-0.108-0.216</f>
        <v>0.90399999999999991</v>
      </c>
    </row>
    <row r="924" spans="1:5" ht="30">
      <c r="A924" s="35" t="s">
        <v>629</v>
      </c>
      <c r="B924" s="1" t="s">
        <v>706</v>
      </c>
      <c r="C924" s="1" t="s">
        <v>581</v>
      </c>
      <c r="D924" s="14" t="s">
        <v>544</v>
      </c>
      <c r="E924" s="23">
        <f>1.256</f>
        <v>1.256</v>
      </c>
    </row>
    <row r="925" spans="1:5" ht="30">
      <c r="A925" s="35" t="s">
        <v>629</v>
      </c>
      <c r="B925" s="1" t="s">
        <v>706</v>
      </c>
      <c r="C925" s="1" t="s">
        <v>581</v>
      </c>
      <c r="D925" s="14" t="s">
        <v>663</v>
      </c>
      <c r="E925" s="23">
        <f>2.48-1.225-0.2-0.1-0.074</f>
        <v>0.88100000000000001</v>
      </c>
    </row>
    <row r="926" spans="1:5" ht="30">
      <c r="A926" s="35" t="s">
        <v>629</v>
      </c>
      <c r="B926" s="1" t="s">
        <v>706</v>
      </c>
      <c r="C926" s="1" t="s">
        <v>581</v>
      </c>
      <c r="D926" s="14" t="s">
        <v>547</v>
      </c>
      <c r="E926" s="23">
        <f>3.624-0.064-0.062-0.242-0.086-1.834</f>
        <v>1.3360000000000003</v>
      </c>
    </row>
    <row r="927" spans="1:5" ht="30">
      <c r="A927" s="35" t="s">
        <v>629</v>
      </c>
      <c r="B927" s="1" t="s">
        <v>706</v>
      </c>
      <c r="C927" s="1" t="s">
        <v>581</v>
      </c>
      <c r="D927" s="14" t="s">
        <v>729</v>
      </c>
      <c r="E927" s="23">
        <f>0.062</f>
        <v>6.2E-2</v>
      </c>
    </row>
    <row r="928" spans="1:5" ht="30">
      <c r="A928" s="35" t="s">
        <v>629</v>
      </c>
      <c r="B928" s="1" t="s">
        <v>706</v>
      </c>
      <c r="C928" s="1" t="s">
        <v>581</v>
      </c>
      <c r="D928" s="14" t="s">
        <v>547</v>
      </c>
      <c r="E928" s="23">
        <f>1.814</f>
        <v>1.8140000000000001</v>
      </c>
    </row>
    <row r="929" spans="1:5" ht="30">
      <c r="A929" s="35" t="s">
        <v>629</v>
      </c>
      <c r="B929" s="1" t="s">
        <v>706</v>
      </c>
      <c r="C929" s="1" t="s">
        <v>581</v>
      </c>
      <c r="D929" s="14" t="s">
        <v>730</v>
      </c>
      <c r="E929" s="23">
        <f>2.856-0.92-(0.022)-0.99-0.852-(0.06)</f>
        <v>1.1999999999999955E-2</v>
      </c>
    </row>
    <row r="930" spans="1:5" ht="30">
      <c r="A930" s="35" t="s">
        <v>629</v>
      </c>
      <c r="B930" s="1" t="s">
        <v>706</v>
      </c>
      <c r="C930" s="1" t="s">
        <v>581</v>
      </c>
      <c r="D930" s="14" t="s">
        <v>730</v>
      </c>
      <c r="E930" s="23">
        <f>1.776-0.232-0.356-0.6-0.15</f>
        <v>0.43800000000000017</v>
      </c>
    </row>
    <row r="931" spans="1:5" ht="30">
      <c r="A931" s="35" t="s">
        <v>629</v>
      </c>
      <c r="B931" s="1" t="s">
        <v>706</v>
      </c>
      <c r="C931" s="1" t="s">
        <v>581</v>
      </c>
      <c r="D931" s="14" t="s">
        <v>731</v>
      </c>
      <c r="E931" s="23">
        <f>1.772-0.098-0.062</f>
        <v>1.6119999999999999</v>
      </c>
    </row>
    <row r="932" spans="1:5" ht="30">
      <c r="A932" s="35" t="s">
        <v>629</v>
      </c>
      <c r="B932" s="1" t="s">
        <v>706</v>
      </c>
      <c r="C932" s="1" t="s">
        <v>581</v>
      </c>
      <c r="D932" s="14" t="s">
        <v>732</v>
      </c>
      <c r="E932" s="23">
        <f>0.062</f>
        <v>6.2E-2</v>
      </c>
    </row>
    <row r="933" spans="1:5" ht="17">
      <c r="A933" s="35" t="s">
        <v>629</v>
      </c>
      <c r="B933" s="1" t="s">
        <v>706</v>
      </c>
      <c r="C933" s="1" t="s">
        <v>525</v>
      </c>
      <c r="D933" s="14" t="s">
        <v>733</v>
      </c>
      <c r="E933" s="23">
        <f>0.92-0.815-0.02-0.012</f>
        <v>7.3000000000000093E-2</v>
      </c>
    </row>
    <row r="934" spans="1:5" ht="17">
      <c r="A934" s="35" t="s">
        <v>629</v>
      </c>
      <c r="B934" s="1" t="s">
        <v>706</v>
      </c>
      <c r="C934" s="1" t="s">
        <v>525</v>
      </c>
      <c r="D934" s="14" t="s">
        <v>669</v>
      </c>
      <c r="E934" s="23">
        <f>1.746-0.626-0.202-0.109-0.3</f>
        <v>0.50900000000000012</v>
      </c>
    </row>
    <row r="935" spans="1:5" ht="30">
      <c r="A935" s="35" t="s">
        <v>629</v>
      </c>
      <c r="B935" s="1" t="s">
        <v>706</v>
      </c>
      <c r="C935" s="1" t="s">
        <v>581</v>
      </c>
      <c r="D935" s="14" t="s">
        <v>669</v>
      </c>
      <c r="E935" s="23">
        <f>1.776</f>
        <v>1.776</v>
      </c>
    </row>
    <row r="936" spans="1:5" ht="30">
      <c r="A936" s="35" t="s">
        <v>629</v>
      </c>
      <c r="B936" s="1" t="s">
        <v>706</v>
      </c>
      <c r="C936" s="1" t="s">
        <v>581</v>
      </c>
      <c r="D936" s="14" t="s">
        <v>670</v>
      </c>
      <c r="E936" s="23">
        <f>1.69-0.648-0.158-0.19</f>
        <v>0.69399999999999973</v>
      </c>
    </row>
    <row r="937" spans="1:5" ht="30">
      <c r="A937" s="35" t="s">
        <v>629</v>
      </c>
      <c r="B937" s="1" t="s">
        <v>706</v>
      </c>
      <c r="C937" s="1" t="s">
        <v>581</v>
      </c>
      <c r="D937" s="14" t="s">
        <v>670</v>
      </c>
      <c r="E937" s="23">
        <f>1.71-1.266</f>
        <v>0.44399999999999995</v>
      </c>
    </row>
    <row r="938" spans="1:5" ht="17">
      <c r="A938" s="35" t="s">
        <v>629</v>
      </c>
      <c r="B938" s="1" t="s">
        <v>706</v>
      </c>
      <c r="C938" s="1" t="s">
        <v>525</v>
      </c>
      <c r="D938" s="14" t="s">
        <v>672</v>
      </c>
      <c r="E938" s="23">
        <f>2.42-(0.006)-0.25-0.356-0.386</f>
        <v>1.4220000000000002</v>
      </c>
    </row>
    <row r="939" spans="1:5" ht="17">
      <c r="A939" s="35" t="s">
        <v>629</v>
      </c>
      <c r="B939" s="1" t="s">
        <v>706</v>
      </c>
      <c r="C939" s="1" t="s">
        <v>525</v>
      </c>
      <c r="D939" s="14" t="s">
        <v>653</v>
      </c>
      <c r="E939" s="23">
        <f>3.168-1.574-0.01-1.124-0.036</f>
        <v>0.42399999999999999</v>
      </c>
    </row>
    <row r="940" spans="1:5" ht="30">
      <c r="A940" s="35" t="s">
        <v>629</v>
      </c>
      <c r="B940" s="1" t="s">
        <v>706</v>
      </c>
      <c r="C940" s="1" t="s">
        <v>581</v>
      </c>
      <c r="D940" s="14" t="s">
        <v>653</v>
      </c>
      <c r="E940" s="23">
        <f>2.352-0.266-0.254</f>
        <v>1.8319999999999999</v>
      </c>
    </row>
    <row r="941" spans="1:5" ht="30">
      <c r="A941" s="35" t="s">
        <v>629</v>
      </c>
      <c r="B941" s="1" t="s">
        <v>706</v>
      </c>
      <c r="C941" s="1" t="s">
        <v>581</v>
      </c>
      <c r="D941" s="14" t="s">
        <v>734</v>
      </c>
      <c r="E941" s="23">
        <f>4.342</f>
        <v>4.3419999999999996</v>
      </c>
    </row>
    <row r="942" spans="1:5" ht="30">
      <c r="A942" s="35" t="s">
        <v>629</v>
      </c>
      <c r="B942" s="1" t="s">
        <v>706</v>
      </c>
      <c r="C942" s="1" t="s">
        <v>581</v>
      </c>
      <c r="D942" s="14" t="s">
        <v>686</v>
      </c>
      <c r="E942" s="23">
        <f>5.364-0.108-0.084-2.388-0.726-0.72</f>
        <v>1.3380000000000007</v>
      </c>
    </row>
    <row r="943" spans="1:5" ht="30">
      <c r="A943" s="35" t="s">
        <v>629</v>
      </c>
      <c r="B943" s="1" t="s">
        <v>706</v>
      </c>
      <c r="C943" s="1" t="s">
        <v>581</v>
      </c>
      <c r="D943" s="14" t="s">
        <v>735</v>
      </c>
      <c r="E943" s="23">
        <f>0.72</f>
        <v>0.72</v>
      </c>
    </row>
    <row r="944" spans="1:5" ht="30">
      <c r="A944" s="35" t="s">
        <v>629</v>
      </c>
      <c r="B944" s="1" t="s">
        <v>706</v>
      </c>
      <c r="C944" s="1" t="s">
        <v>581</v>
      </c>
      <c r="D944" s="14" t="s">
        <v>686</v>
      </c>
      <c r="E944" s="23">
        <f>6.065</f>
        <v>6.0650000000000004</v>
      </c>
    </row>
    <row r="945" spans="1:5" ht="30">
      <c r="A945" s="35" t="s">
        <v>629</v>
      </c>
      <c r="B945" s="1" t="s">
        <v>736</v>
      </c>
      <c r="C945" s="14" t="s">
        <v>649</v>
      </c>
      <c r="D945" s="14">
        <v>15</v>
      </c>
      <c r="E945" s="22">
        <f>0.4-0.28-0.015</f>
        <v>0.105</v>
      </c>
    </row>
    <row r="946" spans="1:5" ht="30">
      <c r="A946" s="35" t="s">
        <v>629</v>
      </c>
      <c r="B946" s="1" t="s">
        <v>736</v>
      </c>
      <c r="C946" s="14" t="s">
        <v>649</v>
      </c>
      <c r="D946" s="14">
        <v>40</v>
      </c>
      <c r="E946" s="22">
        <f>0.112</f>
        <v>0.112</v>
      </c>
    </row>
    <row r="947" spans="1:5" ht="30">
      <c r="A947" s="35" t="s">
        <v>629</v>
      </c>
      <c r="B947" s="1" t="s">
        <v>736</v>
      </c>
      <c r="C947" s="14" t="s">
        <v>649</v>
      </c>
      <c r="D947" s="14">
        <v>160</v>
      </c>
      <c r="E947" s="22">
        <f>1.13-0.764-0.016</f>
        <v>0.34999999999999987</v>
      </c>
    </row>
    <row r="948" spans="1:5" ht="30">
      <c r="A948" s="35" t="s">
        <v>629</v>
      </c>
      <c r="B948" s="14" t="s">
        <v>737</v>
      </c>
      <c r="C948" s="14" t="s">
        <v>738</v>
      </c>
      <c r="D948" s="14" t="s">
        <v>739</v>
      </c>
      <c r="E948" s="22">
        <f>0.61-0.41-0.015-0.05-0.02-0.01-0.015-0.01-0.02-0.01-0.02</f>
        <v>3.0000000000000009E-2</v>
      </c>
    </row>
    <row r="949" spans="1:5" ht="17">
      <c r="A949" s="35" t="s">
        <v>629</v>
      </c>
      <c r="B949" s="14" t="s">
        <v>737</v>
      </c>
      <c r="C949" s="14" t="s">
        <v>740</v>
      </c>
      <c r="D949" s="14">
        <v>80</v>
      </c>
      <c r="E949" s="22">
        <f>0.025-0.004</f>
        <v>2.1000000000000001E-2</v>
      </c>
    </row>
    <row r="950" spans="1:5" ht="30">
      <c r="A950" s="35" t="s">
        <v>629</v>
      </c>
      <c r="B950" s="14" t="s">
        <v>741</v>
      </c>
      <c r="C950" s="14" t="s">
        <v>738</v>
      </c>
      <c r="D950" s="14" t="s">
        <v>742</v>
      </c>
      <c r="E950" s="22">
        <f>0.09-0.005</f>
        <v>8.4999999999999992E-2</v>
      </c>
    </row>
    <row r="951" spans="1:5" ht="30">
      <c r="A951" s="35" t="s">
        <v>629</v>
      </c>
      <c r="B951" s="14" t="s">
        <v>741</v>
      </c>
      <c r="C951" s="14" t="s">
        <v>738</v>
      </c>
      <c r="D951" s="14" t="s">
        <v>743</v>
      </c>
      <c r="E951" s="22">
        <f>0.11-0.1</f>
        <v>9.999999999999995E-3</v>
      </c>
    </row>
    <row r="952" spans="1:5" ht="30">
      <c r="A952" s="35" t="s">
        <v>629</v>
      </c>
      <c r="B952" s="14" t="s">
        <v>741</v>
      </c>
      <c r="C952" s="14" t="s">
        <v>738</v>
      </c>
      <c r="D952" s="14" t="s">
        <v>744</v>
      </c>
      <c r="E952" s="22">
        <v>0.129</v>
      </c>
    </row>
    <row r="953" spans="1:5" ht="30">
      <c r="A953" s="35" t="s">
        <v>629</v>
      </c>
      <c r="B953" s="14" t="s">
        <v>741</v>
      </c>
      <c r="C953" s="14" t="s">
        <v>738</v>
      </c>
      <c r="D953" s="14" t="s">
        <v>745</v>
      </c>
      <c r="E953" s="22">
        <f>0.05-0.02</f>
        <v>3.0000000000000002E-2</v>
      </c>
    </row>
    <row r="954" spans="1:5" ht="30">
      <c r="A954" s="35" t="s">
        <v>629</v>
      </c>
      <c r="B954" s="5" t="s">
        <v>746</v>
      </c>
      <c r="C954" s="14" t="s">
        <v>738</v>
      </c>
      <c r="D954" s="14" t="s">
        <v>747</v>
      </c>
      <c r="E954" s="22">
        <f>0.15-0.05-0.02-0.015-0.02-0.015</f>
        <v>2.9999999999999985E-2</v>
      </c>
    </row>
    <row r="955" spans="1:5" ht="30">
      <c r="A955" s="35" t="s">
        <v>629</v>
      </c>
      <c r="B955" s="5" t="s">
        <v>746</v>
      </c>
      <c r="C955" s="14" t="s">
        <v>738</v>
      </c>
      <c r="D955" s="14" t="s">
        <v>748</v>
      </c>
      <c r="E955" s="22">
        <f>0.3-0.018-0.02-0.05-0.05</f>
        <v>0.16199999999999998</v>
      </c>
    </row>
    <row r="956" spans="1:5" ht="17">
      <c r="A956" s="35" t="s">
        <v>629</v>
      </c>
      <c r="B956" s="5" t="s">
        <v>746</v>
      </c>
      <c r="C956" s="14" t="s">
        <v>749</v>
      </c>
      <c r="D956" s="14" t="s">
        <v>750</v>
      </c>
      <c r="E956" s="22">
        <f>0.053-0.034</f>
        <v>1.8999999999999996E-2</v>
      </c>
    </row>
    <row r="957" spans="1:5" ht="17">
      <c r="A957" s="35" t="s">
        <v>629</v>
      </c>
      <c r="B957" s="5" t="s">
        <v>751</v>
      </c>
      <c r="C957" s="14" t="s">
        <v>752</v>
      </c>
      <c r="D957" s="14">
        <v>190</v>
      </c>
      <c r="E957" s="22">
        <f>0.31-0.042</f>
        <v>0.26800000000000002</v>
      </c>
    </row>
    <row r="958" spans="1:5" ht="17">
      <c r="A958" s="35" t="s">
        <v>629</v>
      </c>
      <c r="B958" s="5" t="s">
        <v>753</v>
      </c>
      <c r="C958" s="5" t="s">
        <v>754</v>
      </c>
      <c r="D958" s="14">
        <v>170</v>
      </c>
      <c r="E958" s="23">
        <f>0.56-0.032</f>
        <v>0.52800000000000002</v>
      </c>
    </row>
    <row r="959" spans="1:5" ht="17">
      <c r="A959" s="35" t="s">
        <v>629</v>
      </c>
      <c r="B959" s="5" t="s">
        <v>753</v>
      </c>
      <c r="C959" s="5" t="s">
        <v>754</v>
      </c>
      <c r="D959" s="14">
        <v>90</v>
      </c>
      <c r="E959" s="23">
        <f>0.106</f>
        <v>0.106</v>
      </c>
    </row>
    <row r="960" spans="1:5" ht="17">
      <c r="A960" s="35" t="s">
        <v>629</v>
      </c>
      <c r="B960" s="5" t="s">
        <v>753</v>
      </c>
      <c r="C960" s="5" t="s">
        <v>754</v>
      </c>
      <c r="D960" s="14">
        <v>100</v>
      </c>
      <c r="E960" s="23">
        <f>0.213</f>
        <v>0.21299999999999999</v>
      </c>
    </row>
    <row r="961" spans="1:5" ht="17">
      <c r="A961" s="35" t="s">
        <v>629</v>
      </c>
      <c r="B961" s="5" t="s">
        <v>755</v>
      </c>
      <c r="C961" s="5" t="s">
        <v>756</v>
      </c>
      <c r="D961" s="14">
        <v>140</v>
      </c>
      <c r="E961" s="23">
        <f>0.29-0.147</f>
        <v>0.14299999999999999</v>
      </c>
    </row>
    <row r="962" spans="1:5" ht="17">
      <c r="A962" s="35" t="s">
        <v>629</v>
      </c>
      <c r="B962" s="5" t="s">
        <v>757</v>
      </c>
      <c r="C962" s="1" t="s">
        <v>758</v>
      </c>
      <c r="D962" s="14">
        <v>8</v>
      </c>
      <c r="E962" s="23">
        <v>6.7000000000000002E-3</v>
      </c>
    </row>
    <row r="963" spans="1:5" ht="17">
      <c r="A963" s="35" t="s">
        <v>629</v>
      </c>
      <c r="B963" s="5" t="s">
        <v>757</v>
      </c>
      <c r="C963" s="5" t="s">
        <v>754</v>
      </c>
      <c r="D963" s="14">
        <v>14</v>
      </c>
      <c r="E963" s="23">
        <f>0.302-0.093-0.025-0.013</f>
        <v>0.17099999999999999</v>
      </c>
    </row>
    <row r="964" spans="1:5" ht="17">
      <c r="A964" s="35" t="s">
        <v>629</v>
      </c>
      <c r="B964" s="5" t="s">
        <v>757</v>
      </c>
      <c r="C964" s="5" t="s">
        <v>754</v>
      </c>
      <c r="D964" s="14">
        <v>100</v>
      </c>
      <c r="E964" s="23">
        <f>0.362-0.015-0.175-0.016</f>
        <v>0.15599999999999997</v>
      </c>
    </row>
    <row r="965" spans="1:5" ht="17">
      <c r="A965" s="35" t="s">
        <v>629</v>
      </c>
      <c r="B965" s="1" t="s">
        <v>256</v>
      </c>
      <c r="C965" s="1" t="s">
        <v>758</v>
      </c>
      <c r="D965" s="8">
        <v>120</v>
      </c>
      <c r="E965" s="26">
        <f>0.1</f>
        <v>0.1</v>
      </c>
    </row>
    <row r="966" spans="1:5" ht="17">
      <c r="A966" s="35" t="s">
        <v>629</v>
      </c>
      <c r="B966" s="1" t="s">
        <v>759</v>
      </c>
      <c r="C966" s="8" t="s">
        <v>760</v>
      </c>
      <c r="D966" s="8">
        <v>85</v>
      </c>
      <c r="E966" s="26">
        <f>1.55-1.095-0.05-0.014-0.21</f>
        <v>0.18100000000000008</v>
      </c>
    </row>
    <row r="967" spans="1:5" ht="17">
      <c r="A967" s="35" t="s">
        <v>629</v>
      </c>
      <c r="B967" s="1" t="s">
        <v>84</v>
      </c>
      <c r="C967" s="8" t="s">
        <v>761</v>
      </c>
      <c r="D967" s="8">
        <v>40</v>
      </c>
      <c r="E967" s="26">
        <f>0.06-0.016-0.002</f>
        <v>4.1999999999999996E-2</v>
      </c>
    </row>
    <row r="968" spans="1:5" ht="17">
      <c r="A968" s="35" t="s">
        <v>629</v>
      </c>
      <c r="B968" s="1" t="s">
        <v>84</v>
      </c>
      <c r="C968" s="8" t="s">
        <v>761</v>
      </c>
      <c r="D968" s="8">
        <v>70</v>
      </c>
      <c r="E968" s="26">
        <f>0.182-0.015+0.001</f>
        <v>0.16799999999999998</v>
      </c>
    </row>
    <row r="969" spans="1:5" ht="17">
      <c r="A969" s="35" t="s">
        <v>629</v>
      </c>
      <c r="B969" s="1" t="s">
        <v>84</v>
      </c>
      <c r="C969" s="8" t="s">
        <v>761</v>
      </c>
      <c r="D969" s="8">
        <v>190</v>
      </c>
      <c r="E969" s="26">
        <f>0.534-0.374</f>
        <v>0.16000000000000003</v>
      </c>
    </row>
    <row r="970" spans="1:5" ht="17">
      <c r="A970" s="35" t="s">
        <v>629</v>
      </c>
      <c r="B970" s="1" t="s">
        <v>84</v>
      </c>
      <c r="C970" s="8" t="s">
        <v>761</v>
      </c>
      <c r="D970" s="8">
        <v>200</v>
      </c>
      <c r="E970" s="26">
        <f>0.8-0.418+0.002</f>
        <v>0.38400000000000006</v>
      </c>
    </row>
    <row r="971" spans="1:5" ht="30">
      <c r="A971" s="35" t="s">
        <v>629</v>
      </c>
      <c r="B971" s="2" t="s">
        <v>762</v>
      </c>
      <c r="C971" s="2" t="s">
        <v>763</v>
      </c>
      <c r="D971" s="8" t="s">
        <v>764</v>
      </c>
      <c r="E971" s="24">
        <f>0.11-0.1</f>
        <v>9.999999999999995E-3</v>
      </c>
    </row>
    <row r="972" spans="1:5" ht="17">
      <c r="A972" s="35" t="s">
        <v>629</v>
      </c>
      <c r="B972" s="19" t="s">
        <v>762</v>
      </c>
      <c r="C972" s="19" t="s">
        <v>765</v>
      </c>
      <c r="D972" s="20" t="s">
        <v>766</v>
      </c>
      <c r="E972" s="33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Microsoft Office User</cp:lastModifiedBy>
  <cp:revision/>
  <dcterms:created xsi:type="dcterms:W3CDTF">2023-11-09T09:33:33Z</dcterms:created>
  <dcterms:modified xsi:type="dcterms:W3CDTF">2023-11-09T10:02:33Z</dcterms:modified>
  <cp:category/>
  <cp:contentStatus/>
</cp:coreProperties>
</file>